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CER\Projects E\Silic\AAAPetrol\PFS\Revise\Revise02\"/>
    </mc:Choice>
  </mc:AlternateContent>
  <bookViews>
    <workbookView xWindow="0" yWindow="0" windowWidth="20490" windowHeight="7320" tabRatio="939" firstSheet="2" activeTab="19"/>
  </bookViews>
  <sheets>
    <sheet name="برنامه تولید" sheetId="22" r:id="rId1"/>
    <sheet name="مواد اولیه" sheetId="1" r:id="rId2"/>
    <sheet name="حقوق" sheetId="2" r:id="rId3"/>
    <sheet name="انرژی" sheetId="3" r:id="rId4"/>
    <sheet name="ماشین آلات" sheetId="4" r:id="rId5"/>
    <sheet name="تاسیسات" sheetId="5" r:id="rId6"/>
    <sheet name="نقلیه" sheetId="6" r:id="rId7"/>
    <sheet name="زمین" sheetId="7" r:id="rId8"/>
    <sheet name="ساختمان" sheetId="8" r:id="rId9"/>
    <sheet name="محوطه سازی" sheetId="9" r:id="rId10"/>
    <sheet name="قبل از بهره برداری" sheetId="10" r:id="rId11"/>
    <sheet name="سرمایه ثابت" sheetId="11" r:id="rId12"/>
    <sheet name="سرمایه در گردش" sheetId="12" r:id="rId13"/>
    <sheet name="استهلاک" sheetId="13" r:id="rId14"/>
    <sheet name="نت" sheetId="14" r:id="rId15"/>
    <sheet name="محاسبه" sheetId="15" r:id="rId16"/>
    <sheet name="سالیانه" sheetId="16" r:id="rId17"/>
    <sheet name="فروش" sheetId="17" r:id="rId18"/>
    <sheet name="بازگشت" sheetId="23" r:id="rId19"/>
    <sheet name="خلاصه" sheetId="18" r:id="rId2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2" l="1"/>
  <c r="F4" i="22"/>
  <c r="F5" i="22"/>
  <c r="F6" i="22"/>
  <c r="F7" i="22"/>
  <c r="F2" i="22"/>
  <c r="E8" i="22"/>
  <c r="G6" i="1" l="1"/>
  <c r="E4" i="6" l="1"/>
  <c r="E5" i="6"/>
  <c r="E6" i="6"/>
  <c r="E7" i="6"/>
  <c r="E3" i="6"/>
  <c r="C4" i="5"/>
  <c r="C5" i="5"/>
  <c r="C6" i="5"/>
  <c r="C7" i="5"/>
  <c r="C8" i="5"/>
  <c r="C3" i="5"/>
  <c r="D42" i="4" l="1"/>
  <c r="B7" i="2"/>
  <c r="F8" i="22"/>
  <c r="B34" i="4" l="1"/>
  <c r="B4" i="18" l="1"/>
  <c r="B5" i="18" s="1"/>
  <c r="B6" i="18" s="1"/>
  <c r="C3" i="3"/>
  <c r="G11" i="1"/>
  <c r="G12" i="1"/>
  <c r="D43" i="4"/>
  <c r="G4" i="1" l="1"/>
  <c r="B8" i="5"/>
  <c r="D41" i="4"/>
  <c r="D39" i="4"/>
  <c r="D40" i="4"/>
  <c r="D38" i="4"/>
  <c r="D37" i="4"/>
  <c r="D36" i="4"/>
  <c r="D35" i="4"/>
  <c r="D34" i="4"/>
  <c r="G3" i="1"/>
  <c r="B15" i="18" l="1"/>
  <c r="B9" i="16"/>
  <c r="B8" i="16"/>
  <c r="E8" i="15"/>
  <c r="E9" i="15"/>
  <c r="E10" i="15"/>
  <c r="C8" i="15"/>
  <c r="C9" i="15"/>
  <c r="C10" i="15"/>
  <c r="D6" i="13"/>
  <c r="B6" i="13"/>
  <c r="B7" i="11"/>
  <c r="B2" i="11"/>
  <c r="B8" i="10"/>
  <c r="B11" i="16" s="1"/>
  <c r="D4" i="9"/>
  <c r="D3" i="9"/>
  <c r="D4" i="8"/>
  <c r="D5" i="8"/>
  <c r="D6" i="8"/>
  <c r="D7" i="8"/>
  <c r="D8" i="8"/>
  <c r="D9" i="8"/>
  <c r="D10" i="8"/>
  <c r="D11" i="8"/>
  <c r="D12" i="8"/>
  <c r="B5" i="11" s="1"/>
  <c r="B5" i="13" s="1"/>
  <c r="D5" i="13" s="1"/>
  <c r="D3" i="8"/>
  <c r="C2" i="7"/>
  <c r="D7" i="6"/>
  <c r="D4" i="6"/>
  <c r="D5" i="6"/>
  <c r="D6" i="6"/>
  <c r="D3" i="6"/>
  <c r="B4" i="13"/>
  <c r="D4" i="13" s="1"/>
  <c r="D26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7" i="4"/>
  <c r="D28" i="4"/>
  <c r="D29" i="4"/>
  <c r="D30" i="4"/>
  <c r="D31" i="4"/>
  <c r="D32" i="4"/>
  <c r="D33" i="4"/>
  <c r="D3" i="4"/>
  <c r="E6" i="3"/>
  <c r="E5" i="3"/>
  <c r="E4" i="3"/>
  <c r="E3" i="3"/>
  <c r="D5" i="2"/>
  <c r="D4" i="2"/>
  <c r="D6" i="2"/>
  <c r="D3" i="2"/>
  <c r="D7" i="2" s="1"/>
  <c r="D8" i="2" s="1"/>
  <c r="D9" i="2" s="1"/>
  <c r="B3" i="16" s="1"/>
  <c r="G7" i="1"/>
  <c r="G8" i="1"/>
  <c r="G9" i="1"/>
  <c r="G10" i="1"/>
  <c r="G13" i="1"/>
  <c r="G5" i="1"/>
  <c r="B4" i="11" l="1"/>
  <c r="B12" i="15"/>
  <c r="E12" i="15" s="1"/>
  <c r="C12" i="15"/>
  <c r="D5" i="9"/>
  <c r="D13" i="8"/>
  <c r="D44" i="4"/>
  <c r="B6" i="15" s="1"/>
  <c r="C6" i="15" s="1"/>
  <c r="G14" i="1"/>
  <c r="E7" i="3"/>
  <c r="B4" i="16" s="1"/>
  <c r="B2" i="16"/>
  <c r="B4" i="14"/>
  <c r="D4" i="14" s="1"/>
  <c r="B8" i="11"/>
  <c r="B4" i="15"/>
  <c r="B4" i="12"/>
  <c r="B2" i="13" l="1"/>
  <c r="D2" i="13" s="1"/>
  <c r="B3" i="11"/>
  <c r="B2" i="14"/>
  <c r="D2" i="14" s="1"/>
  <c r="B3" i="13"/>
  <c r="D3" i="13" s="1"/>
  <c r="B5" i="15"/>
  <c r="C5" i="15" s="1"/>
  <c r="E6" i="15"/>
  <c r="B3" i="14"/>
  <c r="D3" i="14" s="1"/>
  <c r="D5" i="14" s="1"/>
  <c r="B5" i="16" s="1"/>
  <c r="B6" i="11"/>
  <c r="B5" i="12"/>
  <c r="B7" i="18"/>
  <c r="B3" i="15"/>
  <c r="E3" i="15" s="1"/>
  <c r="B3" i="12"/>
  <c r="E4" i="15"/>
  <c r="C4" i="15"/>
  <c r="B9" i="11" l="1"/>
  <c r="B10" i="11" s="1"/>
  <c r="E5" i="15"/>
  <c r="B6" i="12"/>
  <c r="B7" i="12" s="1"/>
  <c r="B7" i="13" s="1"/>
  <c r="D7" i="13" s="1"/>
  <c r="D8" i="13" s="1"/>
  <c r="B10" i="16" s="1"/>
  <c r="C3" i="15"/>
  <c r="B6" i="16"/>
  <c r="B7" i="16" s="1"/>
  <c r="B11" i="18"/>
  <c r="B7" i="15"/>
  <c r="B10" i="18" l="1"/>
  <c r="B11" i="15"/>
  <c r="B13" i="15" s="1"/>
  <c r="B14" i="15" s="1"/>
  <c r="C7" i="15"/>
  <c r="E7" i="15"/>
  <c r="B12" i="16"/>
  <c r="B8" i="17" s="1"/>
  <c r="B10" i="17" s="1"/>
  <c r="D4" i="17" s="1"/>
  <c r="D6" i="17" s="1"/>
  <c r="E11" i="15" l="1"/>
  <c r="C11" i="15"/>
  <c r="C13" i="15"/>
  <c r="E13" i="15"/>
  <c r="E14" i="15" l="1"/>
  <c r="B12" i="18" s="1"/>
  <c r="C14" i="15"/>
  <c r="B9" i="18" s="1"/>
  <c r="B13" i="18" l="1"/>
  <c r="B8" i="18"/>
</calcChain>
</file>

<file path=xl/sharedStrings.xml><?xml version="1.0" encoding="utf-8"?>
<sst xmlns="http://schemas.openxmlformats.org/spreadsheetml/2006/main" count="307" uniqueCount="218">
  <si>
    <t>نام ماده اولیه</t>
  </si>
  <si>
    <t>نقش و نحوه تأمین</t>
  </si>
  <si>
    <t>مصرف اسمی</t>
  </si>
  <si>
    <t>واحد</t>
  </si>
  <si>
    <t>قیمت واحد</t>
  </si>
  <si>
    <t>(میلیون تومان)</t>
  </si>
  <si>
    <t>قیمت کل</t>
  </si>
  <si>
    <t>سولفوریک اسید</t>
  </si>
  <si>
    <t>ماده اولیه- داخلی</t>
  </si>
  <si>
    <t>تن</t>
  </si>
  <si>
    <t>سنگ سیلیس</t>
  </si>
  <si>
    <t>کربنات سدیم</t>
  </si>
  <si>
    <t>کلرید کبالت</t>
  </si>
  <si>
    <t>شناساگر- بازار داخل</t>
  </si>
  <si>
    <t>متیل بنفش</t>
  </si>
  <si>
    <t>وسایل بسته بندی</t>
  </si>
  <si>
    <t>بسته بندی محصول</t>
  </si>
  <si>
    <t>کیسه</t>
  </si>
  <si>
    <t>جمع کل</t>
  </si>
  <si>
    <t>سمت</t>
  </si>
  <si>
    <t>تعداد</t>
  </si>
  <si>
    <t>حقوق ماهانه هر فرد</t>
  </si>
  <si>
    <t>جمع پرداخت ماهانه (میلیون تومان)</t>
  </si>
  <si>
    <t>کارگر</t>
  </si>
  <si>
    <t>مهندس</t>
  </si>
  <si>
    <t>اداری</t>
  </si>
  <si>
    <t>جمع با احتساب ضریب 16.4</t>
  </si>
  <si>
    <t>مدیریت</t>
  </si>
  <si>
    <t>جمع هزینه های سه ماهه</t>
  </si>
  <si>
    <t>شرح</t>
  </si>
  <si>
    <t>مصرف سالیانه</t>
  </si>
  <si>
    <t>هزینه واحد (ریال)</t>
  </si>
  <si>
    <t xml:space="preserve">هزینه کل </t>
  </si>
  <si>
    <t>برق</t>
  </si>
  <si>
    <t>کیلو وات ساعت</t>
  </si>
  <si>
    <t>آب</t>
  </si>
  <si>
    <t>متر مکعب</t>
  </si>
  <si>
    <t>گاز</t>
  </si>
  <si>
    <t>سایر (بنزین، گازوئیل و ...)</t>
  </si>
  <si>
    <t>-</t>
  </si>
  <si>
    <t>جمع کل (میلیون ریال)</t>
  </si>
  <si>
    <t>جنس</t>
  </si>
  <si>
    <t xml:space="preserve">قیمت </t>
  </si>
  <si>
    <t xml:space="preserve">جمع </t>
  </si>
  <si>
    <t>مخزن نگهداری اسید</t>
  </si>
  <si>
    <t>مخزن نگهداری کربنات سدیم</t>
  </si>
  <si>
    <t>مخزن نگهداری سیلیکات سدیم</t>
  </si>
  <si>
    <t>تسمه نقاله</t>
  </si>
  <si>
    <t>کوره ذوب سیلیس</t>
  </si>
  <si>
    <t>کوره ذوب شیشه و کربنات سدیم</t>
  </si>
  <si>
    <t>فیلتر پرس سیلیکات سدیم</t>
  </si>
  <si>
    <t>میکسر</t>
  </si>
  <si>
    <t>پمپ غلیظ کش</t>
  </si>
  <si>
    <t>پمپ اسید</t>
  </si>
  <si>
    <t>میکسر اسید</t>
  </si>
  <si>
    <t>مخزن</t>
  </si>
  <si>
    <t>پمپ سیلیکات</t>
  </si>
  <si>
    <t>پمپ آب</t>
  </si>
  <si>
    <t>سیستم کنترل و مانیتورینگ خط و کل کارخانه</t>
  </si>
  <si>
    <t>حوضچه</t>
  </si>
  <si>
    <t>سکو</t>
  </si>
  <si>
    <t>ستون</t>
  </si>
  <si>
    <t>نوار نقاله ضد اسید</t>
  </si>
  <si>
    <t>مجموعه گرانول ساز</t>
  </si>
  <si>
    <t>مخزن ماند</t>
  </si>
  <si>
    <t>اتصالات</t>
  </si>
  <si>
    <t xml:space="preserve">واحد شست وشو </t>
  </si>
  <si>
    <t>نوار نقاله</t>
  </si>
  <si>
    <t>کوره خشک کن</t>
  </si>
  <si>
    <t>سرند</t>
  </si>
  <si>
    <t>جداسازی شکسته</t>
  </si>
  <si>
    <t>کیسه پرکن</t>
  </si>
  <si>
    <t>تجهیزات انبارداری</t>
  </si>
  <si>
    <t>شیرآلات</t>
  </si>
  <si>
    <t>تجهیزات و تأسیسات</t>
  </si>
  <si>
    <t xml:space="preserve">هزینه </t>
  </si>
  <si>
    <t>تأسیسات برق</t>
  </si>
  <si>
    <t>تأسیسات گاز</t>
  </si>
  <si>
    <t>وسایل آزمایشگاه</t>
  </si>
  <si>
    <t xml:space="preserve">تأسیسات آب شیرین کن </t>
  </si>
  <si>
    <t>شرح وسیله</t>
  </si>
  <si>
    <t>مجموع (میلیون تومان)</t>
  </si>
  <si>
    <t>لیفتراک</t>
  </si>
  <si>
    <t>نقلیه سبک</t>
  </si>
  <si>
    <t>نقلیه سنگین</t>
  </si>
  <si>
    <t>خودرو اداری</t>
  </si>
  <si>
    <t>مساحت مورد نیاز</t>
  </si>
  <si>
    <t>قیمت متر مربع (میلیون تومان)</t>
  </si>
  <si>
    <t>قیمت کل (میلیون تومان)</t>
  </si>
  <si>
    <t>نام ساختمان</t>
  </si>
  <si>
    <t>زیر بنا</t>
  </si>
  <si>
    <t>قیمت متر مربع</t>
  </si>
  <si>
    <t xml:space="preserve">قیمت کل </t>
  </si>
  <si>
    <t>سالن تولید سیلیکات سدیم</t>
  </si>
  <si>
    <t>انباری</t>
  </si>
  <si>
    <t>واحد شست و شو</t>
  </si>
  <si>
    <t>واحد رنگ</t>
  </si>
  <si>
    <t>خشک کن رنگی</t>
  </si>
  <si>
    <t>خشک کن شفاف</t>
  </si>
  <si>
    <t>واحد تصفیه و آب شیرین کن</t>
  </si>
  <si>
    <t>مکان دپو اسید و سیلیکات</t>
  </si>
  <si>
    <t>اداری(آزمایشگاه و محل استراحت)</t>
  </si>
  <si>
    <t>جمع</t>
  </si>
  <si>
    <t>نوع فعالیت</t>
  </si>
  <si>
    <t>مقدار</t>
  </si>
  <si>
    <t>هزینه متر مربع</t>
  </si>
  <si>
    <t>هزینه کل</t>
  </si>
  <si>
    <t>خاکبرداری و تسطیح</t>
  </si>
  <si>
    <t>دیوارکشی</t>
  </si>
  <si>
    <t>هزینه (میلیون تومان)</t>
  </si>
  <si>
    <t>تأسیس شرکت و دریافت مجوز</t>
  </si>
  <si>
    <t xml:space="preserve">کارهای اداری </t>
  </si>
  <si>
    <t xml:space="preserve">خدمات مشاوره </t>
  </si>
  <si>
    <t>سایر هزینه ها</t>
  </si>
  <si>
    <t>مجوزهای دولتی</t>
  </si>
  <si>
    <t>مجوزهای فروش</t>
  </si>
  <si>
    <t>زمین</t>
  </si>
  <si>
    <t>ساختمان و محوطه سازی</t>
  </si>
  <si>
    <t>هزینه های قبل بهره برداری</t>
  </si>
  <si>
    <t xml:space="preserve">وسایل دفتری </t>
  </si>
  <si>
    <t>(20 الی 30 درصد هزینه ساختمان اداری)</t>
  </si>
  <si>
    <t xml:space="preserve">ماشین آلات </t>
  </si>
  <si>
    <t>وسایل نقلیه</t>
  </si>
  <si>
    <t>تأسیسات عمومی</t>
  </si>
  <si>
    <t>هزینه های پیش بینی نشده</t>
  </si>
  <si>
    <t>مواد اولیه و بسته بندی</t>
  </si>
  <si>
    <t>حقوق و دستمزد کارکنان</t>
  </si>
  <si>
    <t>تنخواه گردان (15 روز هزینه آب، برق، سوخت و تعمیرات )</t>
  </si>
  <si>
    <t>سایر هزینه های جاری</t>
  </si>
  <si>
    <t>هزینه کل (میلیون تومان)</t>
  </si>
  <si>
    <t>درصد</t>
  </si>
  <si>
    <t>هزینه مورد</t>
  </si>
  <si>
    <t>ماشین آلات و تجهیزات خط تولید</t>
  </si>
  <si>
    <t>وسایل دفتری</t>
  </si>
  <si>
    <t xml:space="preserve">وسایل نقلیه </t>
  </si>
  <si>
    <t>پیش بینی نشده(در گردش)</t>
  </si>
  <si>
    <t xml:space="preserve">ساختمان ها </t>
  </si>
  <si>
    <t>تأسیسات عمومی و حمل و نقل</t>
  </si>
  <si>
    <t>هزینه</t>
  </si>
  <si>
    <t>هزینه متغیر</t>
  </si>
  <si>
    <t>هزینه ثابت</t>
  </si>
  <si>
    <t>حقوق و دستمزد</t>
  </si>
  <si>
    <t>انرژی</t>
  </si>
  <si>
    <t>تعمیر و نگهداری</t>
  </si>
  <si>
    <t>اداری و فروش</t>
  </si>
  <si>
    <t>تسهیلات مالی</t>
  </si>
  <si>
    <t>بیمه کارخانه</t>
  </si>
  <si>
    <t>استهلاک</t>
  </si>
  <si>
    <t>استهلاک قبل بهره برداری</t>
  </si>
  <si>
    <t>پیش بینی نشده</t>
  </si>
  <si>
    <t>هزینه مواد اولیه و بسته بندی</t>
  </si>
  <si>
    <t>هزینه حقوق و دستمزد</t>
  </si>
  <si>
    <t>هزینه انرژی</t>
  </si>
  <si>
    <t>هزینه تعمیر و نگهداری</t>
  </si>
  <si>
    <t xml:space="preserve">هزینه پیش بینی نشده (5 درصد اقلام بالا) </t>
  </si>
  <si>
    <t>هزینه اداری و فروش (1 درصد اقلام بالا)</t>
  </si>
  <si>
    <t>هزینه تسهیلات مالی (5 درصد وام سرمایه ثابت)</t>
  </si>
  <si>
    <t>هزینه بیمه کارخانه (دو در هزار سرمایه ثابت)</t>
  </si>
  <si>
    <t>هزینه استهلاک</t>
  </si>
  <si>
    <t xml:space="preserve">استهلاک قبل بهره برداری </t>
  </si>
  <si>
    <t>(20 درصد هزینه های قبل بهره برداری)</t>
  </si>
  <si>
    <t>هزینه (میلیون تومان) در تن</t>
  </si>
  <si>
    <t>قیمت عمده فروش کالای مشابه در بازار داخل</t>
  </si>
  <si>
    <t>قیمت سیف کالای مشابه خارجی</t>
  </si>
  <si>
    <t>قیمت تمام شده کل محصول تولیدی</t>
  </si>
  <si>
    <t>سود سرمایه نقدی</t>
  </si>
  <si>
    <t>قیمت فروش کل محصولات تولیدی</t>
  </si>
  <si>
    <t>هزینه مواد اولیه و بسته بندی سالیانه</t>
  </si>
  <si>
    <t>تعداد کارکنان</t>
  </si>
  <si>
    <t>اشتغال مستقیم</t>
  </si>
  <si>
    <t>اشتغال غیرمستقیم</t>
  </si>
  <si>
    <t>سرمایه ثابت</t>
  </si>
  <si>
    <t>سرمایه در گردش</t>
  </si>
  <si>
    <t>هزینه دریافت تسهیلات مالی</t>
  </si>
  <si>
    <t>فروش کل</t>
  </si>
  <si>
    <t>ظرفیت سالیانه</t>
  </si>
  <si>
    <t>سولفات آلومینیوم</t>
  </si>
  <si>
    <t>مجموعه مشعل</t>
  </si>
  <si>
    <t>آب شیرین کن</t>
  </si>
  <si>
    <t>غشاهای سیلیکاتی</t>
  </si>
  <si>
    <t>مبدل حرارتی</t>
  </si>
  <si>
    <t>کمپرسورهای باد</t>
  </si>
  <si>
    <t>دیگ بخار</t>
  </si>
  <si>
    <t>چیلر</t>
  </si>
  <si>
    <t xml:space="preserve">جمع هزینه های تولید  </t>
  </si>
  <si>
    <t xml:space="preserve">میزان تولید </t>
  </si>
  <si>
    <t>قیمت تمام شده محصول</t>
  </si>
  <si>
    <t>میلیون تومان</t>
  </si>
  <si>
    <t>میلیون تومان بازای هر تن</t>
  </si>
  <si>
    <t xml:space="preserve"> میزان تولید 3ماهه/ جمع هزینه های تولید سالیانه </t>
  </si>
  <si>
    <t>تجهیزات بسته بندی</t>
  </si>
  <si>
    <t>اتاق تمیز بسته بندی</t>
  </si>
  <si>
    <t>اسیدکلریدریک</t>
  </si>
  <si>
    <t>تجهیزات آتش نشانی و ایمنی</t>
  </si>
  <si>
    <t>بشکه</t>
  </si>
  <si>
    <t>توپ پارچه لایی چسب</t>
  </si>
  <si>
    <t>سیکلون</t>
  </si>
  <si>
    <t>زمینه تولید</t>
  </si>
  <si>
    <t>نفر</t>
  </si>
  <si>
    <t>ردیف</t>
  </si>
  <si>
    <t>محصول</t>
  </si>
  <si>
    <t>ظرفیت اسمی</t>
  </si>
  <si>
    <t>برنامه تولید 3 ماه اول</t>
  </si>
  <si>
    <t>میلیون عدد</t>
  </si>
  <si>
    <t>مجموع</t>
  </si>
  <si>
    <r>
      <rPr>
        <b/>
        <sz val="7"/>
        <color rgb="FF0070C0"/>
        <rFont val="Times New Roman"/>
        <family val="1"/>
      </rPr>
      <t xml:space="preserve"> </t>
    </r>
    <r>
      <rPr>
        <b/>
        <sz val="12"/>
        <color rgb="FF0070C0"/>
        <rFont val="B Titr"/>
        <charset val="178"/>
      </rPr>
      <t>نرخ بازده داخلی (</t>
    </r>
    <r>
      <rPr>
        <b/>
        <sz val="12"/>
        <color rgb="FF0070C0"/>
        <rFont val="Times New Roman"/>
        <family val="1"/>
      </rPr>
      <t>IRR</t>
    </r>
    <r>
      <rPr>
        <b/>
        <sz val="12"/>
        <color rgb="FF0070C0"/>
        <rFont val="B Titr"/>
        <charset val="178"/>
      </rPr>
      <t>)</t>
    </r>
  </si>
  <si>
    <r>
      <rPr>
        <b/>
        <sz val="12"/>
        <color rgb="FF0070C0"/>
        <rFont val="B Titr"/>
        <charset val="178"/>
      </rPr>
      <t>دوره برگشت سرمایه (</t>
    </r>
    <r>
      <rPr>
        <b/>
        <sz val="12"/>
        <color rgb="FF0070C0"/>
        <rFont val="Times New Roman"/>
        <family val="1"/>
      </rPr>
      <t>PP</t>
    </r>
    <r>
      <rPr>
        <b/>
        <sz val="12"/>
        <color rgb="FF0070C0"/>
        <rFont val="B Titr"/>
        <charset val="178"/>
      </rPr>
      <t>)</t>
    </r>
  </si>
  <si>
    <t>(دلار)</t>
  </si>
  <si>
    <t>مجموع (دلار)</t>
  </si>
  <si>
    <t>سیلیکات سدیم</t>
  </si>
  <si>
    <t>چسب نارنجی</t>
  </si>
  <si>
    <t>چسب H</t>
  </si>
  <si>
    <t>چسب WS</t>
  </si>
  <si>
    <t>ساشه چسب</t>
  </si>
  <si>
    <t>چسب سفید</t>
  </si>
  <si>
    <t>چسب آبی</t>
  </si>
  <si>
    <t>سالن تولید چسب</t>
  </si>
  <si>
    <t>تولید انواع چسب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</si>
</sst>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theme="1"/>
      <name val="B Nazanin"/>
      <charset val="178"/>
    </font>
    <font>
      <sz val="11"/>
      <color theme="1"/>
      <name val="B Nazanin"/>
      <charset val="178"/>
    </font>
    <font>
      <b/>
      <sz val="12"/>
      <color rgb="FFFF0000"/>
      <name val="B Nazanin"/>
      <charset val="178"/>
    </font>
    <font>
      <b/>
      <sz val="11"/>
      <color theme="1"/>
      <name val="B Titr"/>
      <charset val="178"/>
    </font>
    <font>
      <sz val="12"/>
      <color rgb="FF000000"/>
      <name val="B Nazanin"/>
      <charset val="178"/>
    </font>
    <font>
      <sz val="11"/>
      <color rgb="FF000000"/>
      <name val="Calibri"/>
      <family val="2"/>
    </font>
    <font>
      <sz val="11"/>
      <color rgb="FF000000"/>
      <name val="B Nazanin"/>
      <charset val="178"/>
    </font>
    <font>
      <b/>
      <sz val="12"/>
      <color rgb="FF000000"/>
      <name val="B Nazanin"/>
      <charset val="178"/>
    </font>
    <font>
      <b/>
      <sz val="11"/>
      <color rgb="FF000000"/>
      <name val="B Nazanin"/>
      <charset val="178"/>
    </font>
    <font>
      <b/>
      <sz val="12"/>
      <name val="B Nazanin"/>
      <charset val="178"/>
    </font>
    <font>
      <b/>
      <sz val="11"/>
      <name val="B Nazanin"/>
      <charset val="178"/>
    </font>
    <font>
      <sz val="12"/>
      <name val="B Nazanin"/>
      <charset val="178"/>
    </font>
    <font>
      <sz val="11"/>
      <name val="B Nazanin"/>
      <charset val="178"/>
    </font>
    <font>
      <b/>
      <sz val="12"/>
      <color rgb="FF0070C0"/>
      <name val="Times New Roman"/>
      <family val="1"/>
    </font>
    <font>
      <b/>
      <sz val="7"/>
      <color rgb="FF0070C0"/>
      <name val="Times New Roman"/>
      <family val="1"/>
    </font>
    <font>
      <b/>
      <sz val="12"/>
      <color rgb="FF0070C0"/>
      <name val="B Titr"/>
      <charset val="178"/>
    </font>
    <font>
      <sz val="14"/>
      <color theme="1"/>
      <name val="B Nazanin"/>
      <charset val="17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5" xfId="0" applyFont="1" applyBorder="1" applyAlignment="1">
      <alignment horizontal="center" vertical="center" wrapText="1" readingOrder="2"/>
    </xf>
    <xf numFmtId="0" fontId="3" fillId="0" borderId="5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4" fillId="0" borderId="6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4" fillId="2" borderId="6" xfId="0" applyFont="1" applyFill="1" applyBorder="1" applyAlignment="1">
      <alignment horizontal="center" vertical="center" wrapText="1" readingOrder="2"/>
    </xf>
    <xf numFmtId="0" fontId="7" fillId="0" borderId="5" xfId="0" applyFont="1" applyBorder="1" applyAlignment="1">
      <alignment horizontal="center" vertical="center" wrapText="1" readingOrder="2"/>
    </xf>
    <xf numFmtId="0" fontId="7" fillId="0" borderId="6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10" xfId="0" applyFont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center" vertical="center" wrapText="1" readingOrder="2"/>
    </xf>
    <xf numFmtId="0" fontId="3" fillId="0" borderId="6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4" fillId="0" borderId="5" xfId="0" applyFont="1" applyBorder="1" applyAlignment="1">
      <alignment horizontal="center" vertical="center" wrapText="1" readingOrder="2"/>
    </xf>
    <xf numFmtId="0" fontId="8" fillId="0" borderId="6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9" fillId="0" borderId="6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9" fontId="8" fillId="0" borderId="6" xfId="0" applyNumberFormat="1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center" vertical="center" wrapText="1" readingOrder="2"/>
    </xf>
    <xf numFmtId="0" fontId="0" fillId="0" borderId="0" xfId="0" applyAlignment="1">
      <alignment horizontal="right"/>
    </xf>
    <xf numFmtId="0" fontId="2" fillId="0" borderId="8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12" fillId="0" borderId="1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center" vertical="center" wrapText="1" readingOrder="2"/>
    </xf>
    <xf numFmtId="0" fontId="12" fillId="0" borderId="4" xfId="0" applyFont="1" applyBorder="1" applyAlignment="1">
      <alignment horizontal="center" vertical="center" wrapText="1" readingOrder="2"/>
    </xf>
    <xf numFmtId="0" fontId="12" fillId="0" borderId="3" xfId="0" applyFont="1" applyBorder="1" applyAlignment="1">
      <alignment horizontal="center" vertical="center" wrapText="1" readingOrder="2"/>
    </xf>
    <xf numFmtId="0" fontId="10" fillId="0" borderId="7" xfId="0" applyFont="1" applyBorder="1" applyAlignment="1">
      <alignment horizontal="center" vertical="center" wrapText="1" readingOrder="2"/>
    </xf>
    <xf numFmtId="0" fontId="1" fillId="0" borderId="0" xfId="0" applyFont="1"/>
    <xf numFmtId="0" fontId="10" fillId="0" borderId="11" xfId="0" applyFont="1" applyBorder="1" applyAlignment="1">
      <alignment horizontal="center" vertical="center" wrapText="1" readingOrder="2"/>
    </xf>
    <xf numFmtId="0" fontId="6" fillId="0" borderId="4" xfId="0" applyFont="1" applyBorder="1" applyAlignment="1">
      <alignment vertical="center" wrapText="1" readingOrder="2"/>
    </xf>
    <xf numFmtId="0" fontId="6" fillId="0" borderId="8" xfId="0" applyFont="1" applyBorder="1" applyAlignment="1">
      <alignment vertical="center" wrapText="1" readingOrder="2"/>
    </xf>
    <xf numFmtId="0" fontId="6" fillId="0" borderId="9" xfId="0" applyFont="1" applyBorder="1" applyAlignment="1">
      <alignment vertical="center" wrapText="1" readingOrder="2"/>
    </xf>
    <xf numFmtId="0" fontId="2" fillId="0" borderId="4" xfId="0" applyFont="1" applyBorder="1" applyAlignment="1">
      <alignment vertical="center" wrapText="1" readingOrder="2"/>
    </xf>
    <xf numFmtId="0" fontId="2" fillId="0" borderId="8" xfId="0" applyFont="1" applyBorder="1" applyAlignment="1">
      <alignment vertical="center" wrapText="1" readingOrder="2"/>
    </xf>
    <xf numFmtId="0" fontId="2" fillId="0" borderId="9" xfId="0" applyFont="1" applyBorder="1" applyAlignment="1">
      <alignment vertical="center" wrapText="1" readingOrder="2"/>
    </xf>
    <xf numFmtId="0" fontId="13" fillId="0" borderId="6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vertical="center" wrapText="1" readingOrder="2"/>
    </xf>
    <xf numFmtId="0" fontId="3" fillId="0" borderId="8" xfId="0" applyFont="1" applyBorder="1" applyAlignment="1">
      <alignment vertical="center" wrapText="1" readingOrder="2"/>
    </xf>
    <xf numFmtId="0" fontId="3" fillId="0" borderId="9" xfId="0" applyFont="1" applyBorder="1" applyAlignment="1">
      <alignment vertical="center" wrapText="1" readingOrder="2"/>
    </xf>
    <xf numFmtId="0" fontId="14" fillId="0" borderId="6" xfId="0" applyFont="1" applyBorder="1" applyAlignment="1">
      <alignment horizontal="center" vertical="center" wrapText="1" readingOrder="2"/>
    </xf>
    <xf numFmtId="0" fontId="15" fillId="0" borderId="5" xfId="0" applyFont="1" applyBorder="1" applyAlignment="1">
      <alignment horizontal="center" vertical="center" wrapText="1" readingOrder="2"/>
    </xf>
    <xf numFmtId="0" fontId="15" fillId="0" borderId="6" xfId="0" applyFont="1" applyBorder="1" applyAlignment="1">
      <alignment horizontal="center" vertical="center" wrapText="1" readingOrder="2"/>
    </xf>
    <xf numFmtId="0" fontId="15" fillId="0" borderId="3" xfId="0" applyFont="1" applyBorder="1" applyAlignment="1">
      <alignment horizontal="center" vertical="center" wrapText="1" readingOrder="2"/>
    </xf>
    <xf numFmtId="0" fontId="13" fillId="0" borderId="4" xfId="0" applyFont="1" applyBorder="1" applyAlignment="1">
      <alignment vertical="center" wrapText="1" readingOrder="2"/>
    </xf>
    <xf numFmtId="0" fontId="13" fillId="0" borderId="8" xfId="0" applyFont="1" applyBorder="1" applyAlignment="1">
      <alignment vertical="center" wrapText="1" readingOrder="2"/>
    </xf>
    <xf numFmtId="0" fontId="13" fillId="0" borderId="9" xfId="0" applyFont="1" applyBorder="1" applyAlignment="1">
      <alignment vertical="center" wrapText="1" readingOrder="2"/>
    </xf>
    <xf numFmtId="0" fontId="13" fillId="0" borderId="1" xfId="0" applyFont="1" applyBorder="1" applyAlignment="1">
      <alignment horizontal="center" vertical="center" wrapText="1" readingOrder="2"/>
    </xf>
    <xf numFmtId="0" fontId="13" fillId="0" borderId="4" xfId="0" applyFont="1" applyBorder="1" applyAlignment="1">
      <alignment horizontal="center" vertical="center" wrapText="1" readingOrder="2"/>
    </xf>
    <xf numFmtId="0" fontId="15" fillId="0" borderId="3" xfId="0" applyFont="1" applyBorder="1" applyAlignment="1">
      <alignment horizontal="right" vertical="center" wrapText="1" readingOrder="2"/>
    </xf>
    <xf numFmtId="0" fontId="16" fillId="0" borderId="6" xfId="0" applyFont="1" applyBorder="1" applyAlignment="1">
      <alignment horizontal="center" vertical="center" wrapText="1" readingOrder="2"/>
    </xf>
    <xf numFmtId="0" fontId="15" fillId="0" borderId="10" xfId="0" applyFont="1" applyBorder="1" applyAlignment="1">
      <alignment horizontal="right" vertical="center" wrapText="1" readingOrder="2"/>
    </xf>
    <xf numFmtId="0" fontId="13" fillId="0" borderId="3" xfId="0" applyFont="1" applyBorder="1" applyAlignment="1">
      <alignment horizontal="right" vertical="center" wrapText="1" readingOrder="2"/>
    </xf>
    <xf numFmtId="0" fontId="17" fillId="0" borderId="0" xfId="0" applyFont="1" applyAlignment="1">
      <alignment horizontal="right" vertical="center" readingOrder="2"/>
    </xf>
    <xf numFmtId="0" fontId="2" fillId="0" borderId="3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4" fillId="3" borderId="4" xfId="0" applyFont="1" applyFill="1" applyBorder="1" applyAlignment="1">
      <alignment horizontal="center" vertical="center" wrapText="1" readingOrder="2"/>
    </xf>
    <xf numFmtId="0" fontId="20" fillId="0" borderId="2" xfId="0" applyFont="1" applyBorder="1" applyAlignment="1">
      <alignment horizontal="center" vertical="center" wrapText="1" readingOrder="2"/>
    </xf>
    <xf numFmtId="0" fontId="5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 wrapText="1" readingOrder="2"/>
    </xf>
    <xf numFmtId="0" fontId="20" fillId="0" borderId="4" xfId="0" applyFont="1" applyBorder="1" applyAlignment="1">
      <alignment horizontal="center" vertical="center" wrapText="1" readingOrder="2"/>
    </xf>
    <xf numFmtId="0" fontId="2" fillId="0" borderId="2" xfId="0" applyFont="1" applyBorder="1" applyAlignment="1">
      <alignment horizontal="center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3" fillId="0" borderId="2" xfId="0" applyFont="1" applyBorder="1" applyAlignment="1">
      <alignment horizontal="center" vertical="center" wrapText="1" readingOrder="2"/>
    </xf>
    <xf numFmtId="0" fontId="3" fillId="0" borderId="3" xfId="0" applyFont="1" applyBorder="1" applyAlignment="1">
      <alignment horizontal="center" vertical="center" wrapText="1" readingOrder="2"/>
    </xf>
    <xf numFmtId="0" fontId="2" fillId="0" borderId="5" xfId="0" applyFont="1" applyBorder="1" applyAlignment="1">
      <alignment horizontal="center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7" fillId="0" borderId="2" xfId="0" applyFont="1" applyBorder="1" applyAlignment="1">
      <alignment horizontal="center" vertical="center" wrapText="1" readingOrder="2"/>
    </xf>
    <xf numFmtId="0" fontId="7" fillId="0" borderId="3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15" fillId="0" borderId="2" xfId="0" applyFont="1" applyBorder="1" applyAlignment="1">
      <alignment horizontal="center" vertical="center" wrapText="1" readingOrder="2"/>
    </xf>
    <xf numFmtId="0" fontId="15" fillId="0" borderId="3" xfId="0" applyFont="1" applyBorder="1" applyAlignment="1">
      <alignment horizontal="center" vertical="center" wrapText="1" readingOrder="2"/>
    </xf>
    <xf numFmtId="0" fontId="4" fillId="0" borderId="2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2" fillId="0" borderId="4" xfId="0" applyFont="1" applyBorder="1" applyAlignment="1">
      <alignment horizontal="center" vertical="center" wrapText="1" readingOrder="2"/>
    </xf>
    <xf numFmtId="0" fontId="2" fillId="0" borderId="9" xfId="0" applyFont="1" applyBorder="1" applyAlignment="1">
      <alignment horizontal="center" vertical="center" wrapText="1" readingOrder="2"/>
    </xf>
    <xf numFmtId="0" fontId="2" fillId="0" borderId="8" xfId="0" applyFont="1" applyBorder="1" applyAlignment="1">
      <alignment horizontal="center" vertical="center" wrapText="1" readingOrder="2"/>
    </xf>
    <xf numFmtId="0" fontId="13" fillId="0" borderId="7" xfId="0" applyFont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rightToLeft="1" topLeftCell="B1" workbookViewId="0">
      <selection activeCell="C3" sqref="C3"/>
    </sheetView>
  </sheetViews>
  <sheetFormatPr defaultRowHeight="15"/>
  <cols>
    <col min="2" max="2" width="19.140625" customWidth="1"/>
    <col min="3" max="3" width="21.42578125" customWidth="1"/>
    <col min="4" max="4" width="19.42578125" customWidth="1"/>
    <col min="5" max="5" width="21.140625" customWidth="1"/>
  </cols>
  <sheetData>
    <row r="1" spans="2:6" ht="59.25" thickBot="1">
      <c r="B1" s="41" t="s">
        <v>199</v>
      </c>
      <c r="C1" s="42" t="s">
        <v>200</v>
      </c>
      <c r="D1" s="43" t="s">
        <v>3</v>
      </c>
      <c r="E1" s="43" t="s">
        <v>201</v>
      </c>
      <c r="F1" s="43" t="s">
        <v>202</v>
      </c>
    </row>
    <row r="2" spans="2:6" ht="20.25" thickBot="1">
      <c r="B2" s="44">
        <v>1</v>
      </c>
      <c r="C2" s="45" t="s">
        <v>214</v>
      </c>
      <c r="D2" s="29" t="s">
        <v>9</v>
      </c>
      <c r="E2" s="29">
        <v>2000</v>
      </c>
      <c r="F2" s="29">
        <f>E2/4</f>
        <v>500</v>
      </c>
    </row>
    <row r="3" spans="2:6" ht="20.25" thickBot="1">
      <c r="B3" s="44">
        <v>2</v>
      </c>
      <c r="C3" s="45" t="s">
        <v>215</v>
      </c>
      <c r="D3" s="29" t="s">
        <v>9</v>
      </c>
      <c r="E3" s="29">
        <v>700</v>
      </c>
      <c r="F3" s="29">
        <f t="shared" ref="F3:F7" si="0">E3/4</f>
        <v>175</v>
      </c>
    </row>
    <row r="4" spans="2:6" ht="20.25" thickBot="1">
      <c r="B4" s="44">
        <v>3</v>
      </c>
      <c r="C4" s="45" t="s">
        <v>210</v>
      </c>
      <c r="D4" s="29" t="s">
        <v>9</v>
      </c>
      <c r="E4" s="29">
        <v>800</v>
      </c>
      <c r="F4" s="29">
        <f t="shared" si="0"/>
        <v>200</v>
      </c>
    </row>
    <row r="5" spans="2:6" ht="20.25" thickBot="1">
      <c r="B5" s="44">
        <v>4</v>
      </c>
      <c r="C5" s="45" t="s">
        <v>211</v>
      </c>
      <c r="D5" s="29" t="s">
        <v>9</v>
      </c>
      <c r="E5" s="29">
        <v>8000</v>
      </c>
      <c r="F5" s="29">
        <f t="shared" si="0"/>
        <v>2000</v>
      </c>
    </row>
    <row r="6" spans="2:6" ht="20.25" thickBot="1">
      <c r="B6" s="44">
        <v>5</v>
      </c>
      <c r="C6" s="45" t="s">
        <v>212</v>
      </c>
      <c r="D6" s="29" t="s">
        <v>9</v>
      </c>
      <c r="E6" s="29">
        <v>8000</v>
      </c>
      <c r="F6" s="29">
        <f t="shared" si="0"/>
        <v>2000</v>
      </c>
    </row>
    <row r="7" spans="2:6" ht="20.25" thickBot="1">
      <c r="B7" s="44">
        <v>6</v>
      </c>
      <c r="C7" s="45" t="s">
        <v>213</v>
      </c>
      <c r="D7" s="29" t="s">
        <v>203</v>
      </c>
      <c r="E7" s="29">
        <v>500</v>
      </c>
      <c r="F7" s="29">
        <f t="shared" si="0"/>
        <v>125</v>
      </c>
    </row>
    <row r="8" spans="2:6" ht="18.75" thickBot="1">
      <c r="B8" s="46"/>
      <c r="C8" s="46"/>
      <c r="D8" s="47" t="s">
        <v>204</v>
      </c>
      <c r="E8" s="29">
        <f>SUM(E2:E7)</f>
        <v>20000</v>
      </c>
      <c r="F8" s="29">
        <f>SUM(F2:F7)</f>
        <v>5000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workbookViewId="0">
      <selection activeCell="B5" sqref="B5"/>
    </sheetView>
  </sheetViews>
  <sheetFormatPr defaultRowHeight="15"/>
  <cols>
    <col min="1" max="1" width="26.28515625" customWidth="1"/>
    <col min="2" max="2" width="23.5703125" customWidth="1"/>
    <col min="3" max="3" width="19" customWidth="1"/>
    <col min="4" max="4" width="16.5703125" customWidth="1"/>
  </cols>
  <sheetData>
    <row r="1" spans="1:4" ht="18.75">
      <c r="A1" s="94" t="s">
        <v>103</v>
      </c>
      <c r="B1" s="94" t="s">
        <v>104</v>
      </c>
      <c r="C1" s="23" t="s">
        <v>105</v>
      </c>
      <c r="D1" s="23" t="s">
        <v>106</v>
      </c>
    </row>
    <row r="2" spans="1:4" ht="19.5" thickBot="1">
      <c r="A2" s="95"/>
      <c r="B2" s="95"/>
      <c r="C2" s="5" t="s">
        <v>5</v>
      </c>
      <c r="D2" s="5" t="s">
        <v>5</v>
      </c>
    </row>
    <row r="3" spans="1:4" ht="19.5" thickBot="1">
      <c r="A3" s="9" t="s">
        <v>107</v>
      </c>
      <c r="B3" s="5">
        <v>5000</v>
      </c>
      <c r="C3" s="5">
        <v>0.3</v>
      </c>
      <c r="D3" s="5">
        <f>B3*C3</f>
        <v>1500</v>
      </c>
    </row>
    <row r="4" spans="1:4" ht="19.5" thickBot="1">
      <c r="A4" s="9" t="s">
        <v>108</v>
      </c>
      <c r="B4" s="5">
        <v>3000</v>
      </c>
      <c r="C4" s="5">
        <v>0.7</v>
      </c>
      <c r="D4" s="5">
        <f>B4*C4</f>
        <v>2100</v>
      </c>
    </row>
    <row r="5" spans="1:4" ht="21.75" thickBot="1">
      <c r="A5" s="48" t="s">
        <v>102</v>
      </c>
      <c r="B5" s="49"/>
      <c r="C5" s="50"/>
      <c r="D5" s="3">
        <f>D3+D4</f>
        <v>3600</v>
      </c>
    </row>
  </sheetData>
  <mergeCells count="2">
    <mergeCell ref="A1:A2"/>
    <mergeCell ref="B1:B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rightToLeft="1" workbookViewId="0">
      <selection activeCell="C1" sqref="C1"/>
    </sheetView>
  </sheetViews>
  <sheetFormatPr defaultRowHeight="15"/>
  <cols>
    <col min="1" max="1" width="22.42578125" customWidth="1"/>
    <col min="2" max="2" width="20.42578125" customWidth="1"/>
    <col min="3" max="3" width="22.5703125" customWidth="1"/>
    <col min="4" max="4" width="20.5703125" customWidth="1"/>
    <col min="5" max="5" width="18.28515625" customWidth="1"/>
  </cols>
  <sheetData>
    <row r="1" spans="1:2" ht="20.25" thickBot="1">
      <c r="A1" s="25" t="s">
        <v>29</v>
      </c>
      <c r="B1" s="26" t="s">
        <v>109</v>
      </c>
    </row>
    <row r="2" spans="1:2" ht="18.75" thickBot="1">
      <c r="A2" s="14" t="s">
        <v>110</v>
      </c>
      <c r="B2" s="6">
        <v>50</v>
      </c>
    </row>
    <row r="3" spans="1:2" ht="18.75" thickBot="1">
      <c r="A3" s="14" t="s">
        <v>111</v>
      </c>
      <c r="B3" s="6">
        <v>200</v>
      </c>
    </row>
    <row r="4" spans="1:2" ht="18.75" thickBot="1">
      <c r="A4" s="14" t="s">
        <v>112</v>
      </c>
      <c r="B4" s="6">
        <v>700</v>
      </c>
    </row>
    <row r="5" spans="1:2" ht="18.75" thickBot="1">
      <c r="A5" s="14" t="s">
        <v>113</v>
      </c>
      <c r="B5" s="6">
        <v>100</v>
      </c>
    </row>
    <row r="6" spans="1:2" ht="18.75" thickBot="1">
      <c r="A6" s="14" t="s">
        <v>114</v>
      </c>
      <c r="B6" s="6">
        <v>250</v>
      </c>
    </row>
    <row r="7" spans="1:2" ht="18.75" thickBot="1">
      <c r="A7" s="14" t="s">
        <v>115</v>
      </c>
      <c r="B7" s="6">
        <v>150</v>
      </c>
    </row>
    <row r="8" spans="1:2" ht="20.25" thickBot="1">
      <c r="A8" s="8" t="s">
        <v>18</v>
      </c>
      <c r="B8" s="17">
        <f>SUM(B2:B7)</f>
        <v>1450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rightToLeft="1" workbookViewId="0">
      <selection activeCell="B5" sqref="B5"/>
    </sheetView>
  </sheetViews>
  <sheetFormatPr defaultRowHeight="15"/>
  <cols>
    <col min="1" max="1" width="18" customWidth="1"/>
    <col min="2" max="2" width="23.7109375" customWidth="1"/>
    <col min="3" max="3" width="20.5703125" customWidth="1"/>
  </cols>
  <sheetData>
    <row r="1" spans="1:3" ht="20.25" thickBot="1">
      <c r="A1" s="25" t="s">
        <v>29</v>
      </c>
      <c r="B1" s="26" t="s">
        <v>109</v>
      </c>
    </row>
    <row r="2" spans="1:3" ht="18.75" thickBot="1">
      <c r="A2" s="14" t="s">
        <v>116</v>
      </c>
      <c r="B2" s="6">
        <f>زمین!C2</f>
        <v>50000</v>
      </c>
    </row>
    <row r="3" spans="1:3" ht="36.75" thickBot="1">
      <c r="A3" s="14" t="s">
        <v>117</v>
      </c>
      <c r="B3" s="6">
        <f>'محوطه سازی'!D5+ساختمان!D13</f>
        <v>544045.5</v>
      </c>
    </row>
    <row r="4" spans="1:3" ht="36.75" thickBot="1">
      <c r="A4" s="14" t="s">
        <v>118</v>
      </c>
      <c r="B4" s="6">
        <f>'قبل از بهره برداری'!B8</f>
        <v>1450</v>
      </c>
    </row>
    <row r="5" spans="1:3" ht="36.75" thickBot="1">
      <c r="A5" s="15" t="s">
        <v>119</v>
      </c>
      <c r="B5" s="20">
        <f>0.3*ساختمان!D12</f>
        <v>1425</v>
      </c>
      <c r="C5" s="14" t="s">
        <v>120</v>
      </c>
    </row>
    <row r="6" spans="1:3" ht="18.75" thickBot="1">
      <c r="A6" s="14" t="s">
        <v>121</v>
      </c>
      <c r="B6" s="6">
        <f>'ماشین آلات'!D44</f>
        <v>76580</v>
      </c>
    </row>
    <row r="7" spans="1:3" ht="18.75" thickBot="1">
      <c r="A7" s="14" t="s">
        <v>122</v>
      </c>
      <c r="B7" s="6">
        <f>نقلیه!D7</f>
        <v>6650</v>
      </c>
    </row>
    <row r="8" spans="1:3" ht="18.75" thickBot="1">
      <c r="A8" s="14" t="s">
        <v>123</v>
      </c>
      <c r="B8" s="6">
        <f>تاسیسات!B8</f>
        <v>11200</v>
      </c>
    </row>
    <row r="9" spans="1:3" ht="36.75" thickBot="1">
      <c r="A9" s="14" t="s">
        <v>124</v>
      </c>
      <c r="B9" s="6">
        <f>0.1*SUM(B2:B8)</f>
        <v>69135.05</v>
      </c>
    </row>
    <row r="10" spans="1:3" ht="20.25" thickBot="1">
      <c r="A10" s="14" t="s">
        <v>102</v>
      </c>
      <c r="B10" s="17">
        <f>SUM(B2:B9)</f>
        <v>760485.55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rightToLeft="1" workbookViewId="0">
      <selection activeCell="C5" sqref="C5"/>
    </sheetView>
  </sheetViews>
  <sheetFormatPr defaultRowHeight="15"/>
  <cols>
    <col min="1" max="1" width="25.7109375" customWidth="1"/>
    <col min="2" max="2" width="25" customWidth="1"/>
    <col min="3" max="3" width="24.42578125" customWidth="1"/>
  </cols>
  <sheetData>
    <row r="1" spans="1:2" ht="19.5">
      <c r="A1" s="82" t="s">
        <v>29</v>
      </c>
      <c r="B1" s="2"/>
    </row>
    <row r="2" spans="1:2" ht="20.25" thickBot="1">
      <c r="A2" s="83"/>
      <c r="B2" s="17" t="s">
        <v>109</v>
      </c>
    </row>
    <row r="3" spans="1:2" ht="20.25" thickBot="1">
      <c r="A3" s="8" t="s">
        <v>125</v>
      </c>
      <c r="B3" s="6">
        <f>'مواد اولیه'!G14</f>
        <v>567640</v>
      </c>
    </row>
    <row r="4" spans="1:2" ht="20.25" thickBot="1">
      <c r="A4" s="8" t="s">
        <v>126</v>
      </c>
      <c r="B4" s="6">
        <f>حقوق!D9</f>
        <v>9397.1999999999989</v>
      </c>
    </row>
    <row r="5" spans="1:2" ht="39.75" thickBot="1">
      <c r="A5" s="8" t="s">
        <v>127</v>
      </c>
      <c r="B5" s="6">
        <f>انرژی!E7</f>
        <v>6720</v>
      </c>
    </row>
    <row r="6" spans="1:2" ht="20.25" thickBot="1">
      <c r="A6" s="8" t="s">
        <v>128</v>
      </c>
      <c r="B6" s="6">
        <f>0.1*SUM(B3:B5)</f>
        <v>58375.72</v>
      </c>
    </row>
    <row r="7" spans="1:2" ht="20.25" thickBot="1">
      <c r="A7" s="8" t="s">
        <v>102</v>
      </c>
      <c r="B7" s="17">
        <f>SUM(B3:B6)</f>
        <v>642132.91999999993</v>
      </c>
    </row>
  </sheetData>
  <mergeCells count="1">
    <mergeCell ref="A1:A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rightToLeft="1" workbookViewId="0">
      <selection activeCell="C7" sqref="C7"/>
    </sheetView>
  </sheetViews>
  <sheetFormatPr defaultRowHeight="15"/>
  <cols>
    <col min="1" max="1" width="28.85546875" customWidth="1"/>
    <col min="2" max="2" width="23.5703125" customWidth="1"/>
    <col min="3" max="3" width="21.5703125" customWidth="1"/>
    <col min="4" max="4" width="22.85546875" customWidth="1"/>
  </cols>
  <sheetData>
    <row r="1" spans="1:4" ht="21.75" thickBot="1">
      <c r="A1" s="27" t="s">
        <v>29</v>
      </c>
      <c r="B1" s="10" t="s">
        <v>129</v>
      </c>
      <c r="C1" s="10" t="s">
        <v>130</v>
      </c>
      <c r="D1" s="10" t="s">
        <v>131</v>
      </c>
    </row>
    <row r="2" spans="1:4" ht="20.25" thickBot="1">
      <c r="A2" s="8" t="s">
        <v>117</v>
      </c>
      <c r="B2" s="6">
        <f>ساختمان!D13+'محوطه سازی'!D5</f>
        <v>544045.5</v>
      </c>
      <c r="C2" s="5">
        <v>5</v>
      </c>
      <c r="D2" s="28">
        <f>B2*C2*0.01</f>
        <v>27202.275000000001</v>
      </c>
    </row>
    <row r="3" spans="1:4" ht="20.25" thickBot="1">
      <c r="A3" s="8" t="s">
        <v>132</v>
      </c>
      <c r="B3" s="6">
        <f>'ماشین آلات'!D44</f>
        <v>76580</v>
      </c>
      <c r="C3" s="5">
        <v>10</v>
      </c>
      <c r="D3" s="28">
        <f t="shared" ref="D3:D7" si="0">B3*C3*0.01</f>
        <v>7658</v>
      </c>
    </row>
    <row r="4" spans="1:4" ht="20.25" thickBot="1">
      <c r="A4" s="8" t="s">
        <v>123</v>
      </c>
      <c r="B4" s="6">
        <f>تاسیسات!B8</f>
        <v>11200</v>
      </c>
      <c r="C4" s="5">
        <v>10</v>
      </c>
      <c r="D4" s="28">
        <f t="shared" si="0"/>
        <v>1120</v>
      </c>
    </row>
    <row r="5" spans="1:4" ht="20.25" thickBot="1">
      <c r="A5" s="8" t="s">
        <v>133</v>
      </c>
      <c r="B5" s="6">
        <f>'سرمایه ثابت'!B5</f>
        <v>1425</v>
      </c>
      <c r="C5" s="5">
        <v>20</v>
      </c>
      <c r="D5" s="28">
        <f t="shared" si="0"/>
        <v>285</v>
      </c>
    </row>
    <row r="6" spans="1:4" ht="20.25" thickBot="1">
      <c r="A6" s="8" t="s">
        <v>134</v>
      </c>
      <c r="B6" s="6">
        <f>نقلیه!D7</f>
        <v>6650</v>
      </c>
      <c r="C6" s="5">
        <v>10</v>
      </c>
      <c r="D6" s="28">
        <f t="shared" si="0"/>
        <v>665</v>
      </c>
    </row>
    <row r="7" spans="1:4" ht="20.25" thickBot="1">
      <c r="A7" s="8" t="s">
        <v>135</v>
      </c>
      <c r="B7" s="5">
        <f>'سرمایه در گردش'!B7</f>
        <v>642132.91999999993</v>
      </c>
      <c r="C7" s="5">
        <v>10</v>
      </c>
      <c r="D7" s="28">
        <f t="shared" si="0"/>
        <v>64213.291999999994</v>
      </c>
    </row>
    <row r="8" spans="1:4" ht="21.75" thickBot="1">
      <c r="A8" s="8" t="s">
        <v>102</v>
      </c>
      <c r="B8" s="5"/>
      <c r="C8" s="5"/>
      <c r="D8" s="3">
        <f>SUM(D2:D7)</f>
        <v>101143.567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rightToLeft="1" workbookViewId="0">
      <selection activeCell="B5" sqref="B5"/>
    </sheetView>
  </sheetViews>
  <sheetFormatPr defaultRowHeight="15"/>
  <cols>
    <col min="1" max="1" width="30.42578125" customWidth="1"/>
    <col min="2" max="2" width="23.85546875" customWidth="1"/>
    <col min="3" max="3" width="25.7109375" customWidth="1"/>
    <col min="4" max="4" width="23" customWidth="1"/>
  </cols>
  <sheetData>
    <row r="1" spans="1:4" ht="21.75" thickBot="1">
      <c r="A1" s="27" t="s">
        <v>29</v>
      </c>
      <c r="B1" s="10" t="s">
        <v>109</v>
      </c>
      <c r="C1" s="10" t="s">
        <v>130</v>
      </c>
      <c r="D1" s="10" t="s">
        <v>131</v>
      </c>
    </row>
    <row r="2" spans="1:4" ht="20.25" thickBot="1">
      <c r="A2" s="8" t="s">
        <v>136</v>
      </c>
      <c r="B2" s="6">
        <f>ساختمان!D13</f>
        <v>540445.5</v>
      </c>
      <c r="C2" s="5">
        <v>2</v>
      </c>
      <c r="D2" s="28">
        <f>B2*C2*0.01</f>
        <v>10808.91</v>
      </c>
    </row>
    <row r="3" spans="1:4" ht="20.25" thickBot="1">
      <c r="A3" s="8" t="s">
        <v>132</v>
      </c>
      <c r="B3" s="6">
        <f>'ماشین آلات'!D44</f>
        <v>76580</v>
      </c>
      <c r="C3" s="5">
        <v>5</v>
      </c>
      <c r="D3" s="28">
        <f t="shared" ref="D3:D4" si="0">B3*C3*0.01</f>
        <v>3829</v>
      </c>
    </row>
    <row r="4" spans="1:4" ht="20.25" thickBot="1">
      <c r="A4" s="8" t="s">
        <v>137</v>
      </c>
      <c r="B4" s="6">
        <f>تاسیسات!B8</f>
        <v>11200</v>
      </c>
      <c r="C4" s="5">
        <v>10</v>
      </c>
      <c r="D4" s="28">
        <f t="shared" si="0"/>
        <v>1120</v>
      </c>
    </row>
    <row r="5" spans="1:4" ht="21.75" thickBot="1">
      <c r="A5" s="8" t="s">
        <v>102</v>
      </c>
      <c r="B5" s="3"/>
      <c r="C5" s="5"/>
      <c r="D5" s="3">
        <f>SUM(D2:D4)</f>
        <v>15757.91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rightToLeft="1" workbookViewId="0">
      <selection activeCell="D3" sqref="D3"/>
    </sheetView>
  </sheetViews>
  <sheetFormatPr defaultRowHeight="15"/>
  <cols>
    <col min="1" max="1" width="30.140625" customWidth="1"/>
    <col min="2" max="2" width="21.5703125" customWidth="1"/>
    <col min="3" max="3" width="13.42578125" customWidth="1"/>
    <col min="4" max="4" width="10" customWidth="1"/>
  </cols>
  <sheetData>
    <row r="1" spans="1:6" ht="21.75" thickBot="1">
      <c r="A1" s="80" t="s">
        <v>29</v>
      </c>
      <c r="B1" s="1" t="s">
        <v>138</v>
      </c>
      <c r="C1" s="96" t="s">
        <v>139</v>
      </c>
      <c r="D1" s="97"/>
      <c r="E1" s="96" t="s">
        <v>140</v>
      </c>
      <c r="F1" s="98"/>
    </row>
    <row r="2" spans="1:6" ht="21.75" thickBot="1">
      <c r="A2" s="81"/>
      <c r="B2" s="3" t="s">
        <v>5</v>
      </c>
      <c r="C2" s="3" t="s">
        <v>104</v>
      </c>
      <c r="D2" s="3" t="s">
        <v>130</v>
      </c>
      <c r="E2" s="3" t="s">
        <v>104</v>
      </c>
      <c r="F2" s="3" t="s">
        <v>130</v>
      </c>
    </row>
    <row r="3" spans="1:6" ht="19.5" thickBot="1">
      <c r="A3" s="9" t="s">
        <v>125</v>
      </c>
      <c r="B3" s="29">
        <f>'مواد اولیه'!G14</f>
        <v>567640</v>
      </c>
      <c r="C3" s="24">
        <f>B3*D3</f>
        <v>567640</v>
      </c>
      <c r="D3" s="30">
        <v>1</v>
      </c>
      <c r="E3" s="24">
        <f>B3*F3</f>
        <v>0</v>
      </c>
      <c r="F3" s="24">
        <v>0</v>
      </c>
    </row>
    <row r="4" spans="1:6" ht="19.5" thickBot="1">
      <c r="A4" s="9" t="s">
        <v>141</v>
      </c>
      <c r="B4" s="29">
        <f>حقوق!D9</f>
        <v>9397.1999999999989</v>
      </c>
      <c r="C4" s="24">
        <f t="shared" ref="C4:C13" si="0">B4*D4</f>
        <v>3289.0199999999995</v>
      </c>
      <c r="D4" s="30">
        <v>0.35</v>
      </c>
      <c r="E4" s="24">
        <f t="shared" ref="E4:E13" si="1">B4*F4</f>
        <v>6108.1799999999994</v>
      </c>
      <c r="F4" s="30">
        <v>0.65</v>
      </c>
    </row>
    <row r="5" spans="1:6" ht="19.5" thickBot="1">
      <c r="A5" s="9" t="s">
        <v>142</v>
      </c>
      <c r="B5" s="24">
        <f>انرژی!E7</f>
        <v>6720</v>
      </c>
      <c r="C5" s="24">
        <f t="shared" si="0"/>
        <v>5376</v>
      </c>
      <c r="D5" s="30">
        <v>0.8</v>
      </c>
      <c r="E5" s="24">
        <f t="shared" si="1"/>
        <v>1344</v>
      </c>
      <c r="F5" s="30">
        <v>0.2</v>
      </c>
    </row>
    <row r="6" spans="1:6" ht="19.5" thickBot="1">
      <c r="A6" s="9" t="s">
        <v>132</v>
      </c>
      <c r="B6" s="24">
        <f>'ماشین آلات'!D44</f>
        <v>76580</v>
      </c>
      <c r="C6" s="24">
        <f t="shared" si="0"/>
        <v>76580</v>
      </c>
      <c r="D6" s="30">
        <v>1</v>
      </c>
      <c r="E6" s="24">
        <f t="shared" si="1"/>
        <v>0</v>
      </c>
      <c r="F6" s="24">
        <v>0</v>
      </c>
    </row>
    <row r="7" spans="1:6" ht="19.5" thickBot="1">
      <c r="A7" s="9" t="s">
        <v>143</v>
      </c>
      <c r="B7" s="24">
        <f>نت!D5</f>
        <v>15757.91</v>
      </c>
      <c r="C7" s="24">
        <f t="shared" si="0"/>
        <v>12606.328000000001</v>
      </c>
      <c r="D7" s="30">
        <v>0.8</v>
      </c>
      <c r="E7" s="24">
        <f t="shared" si="1"/>
        <v>3151.5820000000003</v>
      </c>
      <c r="F7" s="30">
        <v>0.2</v>
      </c>
    </row>
    <row r="8" spans="1:6" ht="19.5" thickBot="1">
      <c r="A8" s="9" t="s">
        <v>144</v>
      </c>
      <c r="B8" s="24">
        <v>1500</v>
      </c>
      <c r="C8" s="24">
        <f t="shared" si="0"/>
        <v>1500</v>
      </c>
      <c r="D8" s="30">
        <v>1</v>
      </c>
      <c r="E8" s="24">
        <f t="shared" si="1"/>
        <v>0</v>
      </c>
      <c r="F8" s="24">
        <v>0</v>
      </c>
    </row>
    <row r="9" spans="1:6" ht="19.5" thickBot="1">
      <c r="A9" s="9" t="s">
        <v>145</v>
      </c>
      <c r="B9" s="24">
        <v>50000</v>
      </c>
      <c r="C9" s="24">
        <f t="shared" si="0"/>
        <v>0</v>
      </c>
      <c r="D9" s="24">
        <v>0</v>
      </c>
      <c r="E9" s="24">
        <f t="shared" si="1"/>
        <v>50000</v>
      </c>
      <c r="F9" s="30">
        <v>1</v>
      </c>
    </row>
    <row r="10" spans="1:6" ht="19.5" thickBot="1">
      <c r="A10" s="9" t="s">
        <v>146</v>
      </c>
      <c r="B10" s="24">
        <v>1000</v>
      </c>
      <c r="C10" s="24">
        <f t="shared" si="0"/>
        <v>0</v>
      </c>
      <c r="D10" s="24">
        <v>0</v>
      </c>
      <c r="E10" s="24">
        <f t="shared" si="1"/>
        <v>1000</v>
      </c>
      <c r="F10" s="30">
        <v>1</v>
      </c>
    </row>
    <row r="11" spans="1:6" ht="19.5" thickBot="1">
      <c r="A11" s="9" t="s">
        <v>147</v>
      </c>
      <c r="B11" s="24">
        <f>استهلاک!D8</f>
        <v>101143.567</v>
      </c>
      <c r="C11" s="24">
        <f t="shared" si="0"/>
        <v>0</v>
      </c>
      <c r="D11" s="24">
        <v>0</v>
      </c>
      <c r="E11" s="24">
        <f t="shared" si="1"/>
        <v>101143.567</v>
      </c>
      <c r="F11" s="30">
        <v>1</v>
      </c>
    </row>
    <row r="12" spans="1:6" ht="19.5" thickBot="1">
      <c r="A12" s="9" t="s">
        <v>148</v>
      </c>
      <c r="B12" s="24">
        <f>'قبل از بهره برداری'!B8*0.1</f>
        <v>145</v>
      </c>
      <c r="C12" s="24">
        <f t="shared" si="0"/>
        <v>0</v>
      </c>
      <c r="D12" s="24">
        <v>0</v>
      </c>
      <c r="E12" s="24">
        <f t="shared" si="1"/>
        <v>145</v>
      </c>
      <c r="F12" s="30">
        <v>1</v>
      </c>
    </row>
    <row r="13" spans="1:6" ht="19.5" thickBot="1">
      <c r="A13" s="9" t="s">
        <v>149</v>
      </c>
      <c r="B13" s="24">
        <f>0.05*SUM(B3:B12)</f>
        <v>41494.183850000001</v>
      </c>
      <c r="C13" s="24">
        <f t="shared" si="0"/>
        <v>35270.056272499998</v>
      </c>
      <c r="D13" s="30">
        <v>0.85</v>
      </c>
      <c r="E13" s="24">
        <f t="shared" si="1"/>
        <v>6224.1275775000004</v>
      </c>
      <c r="F13" s="30">
        <v>0.15</v>
      </c>
    </row>
    <row r="14" spans="1:6" ht="21.75" thickBot="1">
      <c r="A14" s="4" t="s">
        <v>102</v>
      </c>
      <c r="B14" s="31">
        <f>SUM(B3:B13)</f>
        <v>871377.86085000006</v>
      </c>
      <c r="C14" s="31">
        <f>SUM(C3:C13)</f>
        <v>702261.40427249996</v>
      </c>
      <c r="D14" s="31"/>
      <c r="E14" s="31">
        <f t="shared" ref="E14" si="2">SUM(E3:E13)</f>
        <v>169116.45657750001</v>
      </c>
      <c r="F14" s="31"/>
    </row>
  </sheetData>
  <mergeCells count="3">
    <mergeCell ref="A1:A2"/>
    <mergeCell ref="C1:D1"/>
    <mergeCell ref="E1:F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rightToLeft="1" workbookViewId="0">
      <selection activeCell="C4" sqref="C4"/>
    </sheetView>
  </sheetViews>
  <sheetFormatPr defaultRowHeight="15"/>
  <cols>
    <col min="1" max="1" width="39.140625" style="36" customWidth="1"/>
    <col min="2" max="2" width="21.85546875" customWidth="1"/>
    <col min="3" max="3" width="37.42578125" customWidth="1"/>
    <col min="4" max="4" width="20.7109375" customWidth="1"/>
    <col min="5" max="5" width="18" customWidth="1"/>
  </cols>
  <sheetData>
    <row r="1" spans="1:3" ht="21.75" thickBot="1">
      <c r="A1" s="65" t="s">
        <v>29</v>
      </c>
      <c r="B1" s="66" t="s">
        <v>109</v>
      </c>
    </row>
    <row r="2" spans="1:3" ht="18.75" customHeight="1" thickBot="1">
      <c r="A2" s="67" t="s">
        <v>150</v>
      </c>
      <c r="B2" s="68">
        <f>'مواد اولیه'!G14*4</f>
        <v>2270560</v>
      </c>
    </row>
    <row r="3" spans="1:3" ht="19.5" thickBot="1">
      <c r="A3" s="67" t="s">
        <v>151</v>
      </c>
      <c r="B3" s="68">
        <f>حقوق!D9*4</f>
        <v>37588.799999999996</v>
      </c>
    </row>
    <row r="4" spans="1:3" ht="19.5" thickBot="1">
      <c r="A4" s="67" t="s">
        <v>152</v>
      </c>
      <c r="B4" s="60">
        <f>انرژی!E7*4</f>
        <v>26880</v>
      </c>
    </row>
    <row r="5" spans="1:3" ht="19.5" thickBot="1">
      <c r="A5" s="67" t="s">
        <v>153</v>
      </c>
      <c r="B5" s="60">
        <f>نت!D5*4</f>
        <v>63031.64</v>
      </c>
    </row>
    <row r="6" spans="1:3" ht="23.25" customHeight="1" thickBot="1">
      <c r="A6" s="67" t="s">
        <v>154</v>
      </c>
      <c r="B6" s="60">
        <f>0.05*SUM(B2:B5)</f>
        <v>119903.022</v>
      </c>
    </row>
    <row r="7" spans="1:3" ht="20.25" customHeight="1" thickBot="1">
      <c r="A7" s="67" t="s">
        <v>155</v>
      </c>
      <c r="B7" s="60">
        <f>0.01*SUM(B2:B6)</f>
        <v>25179.634619999997</v>
      </c>
    </row>
    <row r="8" spans="1:3" ht="23.25" customHeight="1" thickBot="1">
      <c r="A8" s="67" t="s">
        <v>156</v>
      </c>
      <c r="B8" s="60">
        <f>0.05*محاسبه!B9</f>
        <v>2500</v>
      </c>
    </row>
    <row r="9" spans="1:3" ht="19.5" customHeight="1" thickBot="1">
      <c r="A9" s="67" t="s">
        <v>157</v>
      </c>
      <c r="B9" s="60">
        <f>محاسبه!B10</f>
        <v>1000</v>
      </c>
    </row>
    <row r="10" spans="1:3" ht="19.5" thickBot="1">
      <c r="A10" s="67" t="s">
        <v>158</v>
      </c>
      <c r="B10" s="60">
        <f>استهلاک!D8*4</f>
        <v>404574.26799999998</v>
      </c>
    </row>
    <row r="11" spans="1:3" ht="18" customHeight="1" thickBot="1">
      <c r="A11" s="69" t="s">
        <v>159</v>
      </c>
      <c r="B11" s="59">
        <f>'قبل از بهره برداری'!B8*0.2*4</f>
        <v>1160</v>
      </c>
      <c r="C11" s="9" t="s">
        <v>160</v>
      </c>
    </row>
    <row r="12" spans="1:3" ht="21.75" thickBot="1">
      <c r="A12" s="70" t="s">
        <v>18</v>
      </c>
      <c r="B12" s="54">
        <f>SUM(B2:B11)</f>
        <v>2952377.3646200001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rightToLeft="1" workbookViewId="0">
      <selection activeCell="B3" sqref="B3"/>
    </sheetView>
  </sheetViews>
  <sheetFormatPr defaultRowHeight="15"/>
  <cols>
    <col min="1" max="1" width="31.85546875" customWidth="1"/>
    <col min="2" max="2" width="22.5703125" customWidth="1"/>
    <col min="3" max="3" width="19.140625" customWidth="1"/>
    <col min="4" max="4" width="41.85546875" customWidth="1"/>
    <col min="5" max="5" width="21.42578125" customWidth="1"/>
  </cols>
  <sheetData>
    <row r="1" spans="1:5" ht="42.75" thickBot="1">
      <c r="A1" s="27" t="s">
        <v>29</v>
      </c>
      <c r="B1" s="10" t="s">
        <v>161</v>
      </c>
    </row>
    <row r="2" spans="1:5" ht="28.5" customHeight="1" thickBot="1">
      <c r="A2" s="74" t="s">
        <v>162</v>
      </c>
      <c r="B2" s="5">
        <v>220</v>
      </c>
    </row>
    <row r="3" spans="1:5" ht="25.5" customHeight="1" thickBot="1">
      <c r="A3" s="74" t="s">
        <v>163</v>
      </c>
      <c r="B3" s="5">
        <v>220</v>
      </c>
      <c r="C3" s="10" t="s">
        <v>186</v>
      </c>
      <c r="D3" s="10" t="s">
        <v>189</v>
      </c>
    </row>
    <row r="4" spans="1:5" ht="19.5" thickBot="1">
      <c r="C4" s="22" t="s">
        <v>184</v>
      </c>
      <c r="D4" s="22">
        <f>B10</f>
        <v>2952377.3646200001</v>
      </c>
      <c r="E4" s="22" t="s">
        <v>187</v>
      </c>
    </row>
    <row r="5" spans="1:5" ht="19.5" thickBot="1">
      <c r="C5" s="22" t="s">
        <v>185</v>
      </c>
      <c r="D5" s="22">
        <v>20000</v>
      </c>
      <c r="E5" s="22" t="s">
        <v>9</v>
      </c>
    </row>
    <row r="6" spans="1:5" ht="21.75" thickBot="1">
      <c r="A6" s="99" t="s">
        <v>166</v>
      </c>
      <c r="B6" s="99"/>
      <c r="C6" s="22" t="s">
        <v>186</v>
      </c>
      <c r="D6" s="75">
        <f>D4/D5</f>
        <v>147.61886823099999</v>
      </c>
      <c r="E6" s="22" t="s">
        <v>188</v>
      </c>
    </row>
    <row r="7" spans="1:5" ht="21.75" thickBot="1">
      <c r="A7" s="27" t="s">
        <v>29</v>
      </c>
      <c r="B7" s="10" t="s">
        <v>109</v>
      </c>
    </row>
    <row r="8" spans="1:5" ht="19.5" thickBot="1">
      <c r="A8" s="74" t="s">
        <v>164</v>
      </c>
      <c r="B8" s="5">
        <f>سالیانه!B12</f>
        <v>2952377.3646200001</v>
      </c>
    </row>
    <row r="9" spans="1:5" ht="19.5" thickBot="1">
      <c r="A9" s="74" t="s">
        <v>165</v>
      </c>
      <c r="B9" s="5">
        <v>0</v>
      </c>
    </row>
    <row r="10" spans="1:5" ht="19.5" thickBot="1">
      <c r="A10" s="74" t="s">
        <v>102</v>
      </c>
      <c r="B10" s="5">
        <f>SUM(B8:B9)</f>
        <v>2952377.3646200001</v>
      </c>
    </row>
  </sheetData>
  <mergeCells count="1">
    <mergeCell ref="A6:B6"/>
  </mergeCells>
  <pageMargins left="0.7" right="0.7" top="0.75" bottom="0.75" header="0.3" footer="0.3"/>
  <pageSetup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rightToLeft="1" topLeftCell="B1" workbookViewId="0">
      <selection activeCell="A2" sqref="A2"/>
    </sheetView>
  </sheetViews>
  <sheetFormatPr defaultRowHeight="15"/>
  <cols>
    <col min="1" max="1" width="38.140625" customWidth="1"/>
    <col min="2" max="2" width="27.42578125" customWidth="1"/>
    <col min="3" max="3" width="36.7109375" customWidth="1"/>
    <col min="4" max="4" width="41.85546875" customWidth="1"/>
    <col min="5" max="5" width="30.140625" customWidth="1"/>
  </cols>
  <sheetData>
    <row r="2" spans="1:1" ht="28.5" customHeight="1">
      <c r="A2" s="71" t="s">
        <v>205</v>
      </c>
    </row>
    <row r="3" spans="1:1" ht="25.5">
      <c r="A3" s="71" t="s">
        <v>206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4"/>
  <sheetViews>
    <sheetView rightToLeft="1" topLeftCell="B1" workbookViewId="0">
      <selection activeCell="B3" sqref="B3"/>
    </sheetView>
  </sheetViews>
  <sheetFormatPr defaultRowHeight="15"/>
  <cols>
    <col min="2" max="2" width="19.140625" customWidth="1"/>
    <col min="3" max="3" width="21.42578125" customWidth="1"/>
    <col min="4" max="4" width="19.42578125" customWidth="1"/>
    <col min="5" max="5" width="21.140625" customWidth="1"/>
  </cols>
  <sheetData>
    <row r="1" spans="2:7" ht="42">
      <c r="B1" s="80" t="s">
        <v>0</v>
      </c>
      <c r="C1" s="80" t="s">
        <v>1</v>
      </c>
      <c r="D1" s="82" t="s">
        <v>2</v>
      </c>
      <c r="E1" s="80" t="s">
        <v>3</v>
      </c>
      <c r="F1" s="1" t="s">
        <v>4</v>
      </c>
      <c r="G1" s="1" t="s">
        <v>6</v>
      </c>
    </row>
    <row r="2" spans="2:7" ht="42.75" thickBot="1">
      <c r="B2" s="81"/>
      <c r="C2" s="81"/>
      <c r="D2" s="83"/>
      <c r="E2" s="81"/>
      <c r="F2" s="3" t="s">
        <v>5</v>
      </c>
      <c r="G2" s="3" t="s">
        <v>5</v>
      </c>
    </row>
    <row r="3" spans="2:7" ht="21.75" thickBot="1">
      <c r="B3" s="7" t="s">
        <v>176</v>
      </c>
      <c r="C3" s="5" t="s">
        <v>8</v>
      </c>
      <c r="D3" s="5">
        <v>2500</v>
      </c>
      <c r="E3" s="5" t="s">
        <v>9</v>
      </c>
      <c r="F3" s="5">
        <v>93</v>
      </c>
      <c r="G3" s="5">
        <f>D3*F3</f>
        <v>232500</v>
      </c>
    </row>
    <row r="4" spans="2:7" ht="21.75" thickBot="1">
      <c r="B4" s="7" t="s">
        <v>192</v>
      </c>
      <c r="C4" s="5" t="s">
        <v>8</v>
      </c>
      <c r="D4" s="5">
        <v>300</v>
      </c>
      <c r="E4" s="5" t="s">
        <v>9</v>
      </c>
      <c r="F4" s="5">
        <v>3</v>
      </c>
      <c r="G4" s="5">
        <f>D4*F4</f>
        <v>900</v>
      </c>
    </row>
    <row r="5" spans="2:7" ht="21.75" thickBot="1">
      <c r="B5" s="4" t="s">
        <v>7</v>
      </c>
      <c r="C5" s="5" t="s">
        <v>8</v>
      </c>
      <c r="D5" s="5">
        <v>5000</v>
      </c>
      <c r="E5" s="6" t="s">
        <v>9</v>
      </c>
      <c r="F5" s="5">
        <v>4</v>
      </c>
      <c r="G5" s="5">
        <f>D5*F5</f>
        <v>20000</v>
      </c>
    </row>
    <row r="6" spans="2:7" ht="21.75" thickBot="1">
      <c r="B6" s="72" t="s">
        <v>209</v>
      </c>
      <c r="C6" s="5" t="s">
        <v>8</v>
      </c>
      <c r="D6" s="5">
        <v>25000</v>
      </c>
      <c r="E6" s="73" t="s">
        <v>9</v>
      </c>
      <c r="F6" s="5">
        <v>11</v>
      </c>
      <c r="G6" s="5">
        <f>D6*F6</f>
        <v>275000</v>
      </c>
    </row>
    <row r="7" spans="2:7" ht="21.75" thickBot="1">
      <c r="B7" s="4" t="s">
        <v>10</v>
      </c>
      <c r="C7" s="5" t="s">
        <v>8</v>
      </c>
      <c r="D7" s="5">
        <v>10000</v>
      </c>
      <c r="E7" s="5" t="s">
        <v>9</v>
      </c>
      <c r="F7" s="5">
        <v>0.65</v>
      </c>
      <c r="G7" s="5">
        <f t="shared" ref="G7:G13" si="0">D7*F7</f>
        <v>6500</v>
      </c>
    </row>
    <row r="8" spans="2:7" ht="21.75" thickBot="1">
      <c r="B8" s="4" t="s">
        <v>11</v>
      </c>
      <c r="C8" s="5" t="s">
        <v>8</v>
      </c>
      <c r="D8" s="5">
        <v>1500</v>
      </c>
      <c r="E8" s="5" t="s">
        <v>9</v>
      </c>
      <c r="F8" s="5">
        <v>12</v>
      </c>
      <c r="G8" s="5">
        <f t="shared" si="0"/>
        <v>18000</v>
      </c>
    </row>
    <row r="9" spans="2:7" ht="21.75" thickBot="1">
      <c r="B9" s="4" t="s">
        <v>12</v>
      </c>
      <c r="C9" s="5" t="s">
        <v>13</v>
      </c>
      <c r="D9" s="5">
        <v>5</v>
      </c>
      <c r="E9" s="5" t="s">
        <v>9</v>
      </c>
      <c r="F9" s="5">
        <v>75</v>
      </c>
      <c r="G9" s="5">
        <f t="shared" si="0"/>
        <v>375</v>
      </c>
    </row>
    <row r="10" spans="2:7" ht="21.75" thickBot="1">
      <c r="B10" s="4" t="s">
        <v>14</v>
      </c>
      <c r="C10" s="5" t="s">
        <v>13</v>
      </c>
      <c r="D10" s="5">
        <v>2.5</v>
      </c>
      <c r="E10" s="5" t="s">
        <v>9</v>
      </c>
      <c r="F10" s="5">
        <v>250</v>
      </c>
      <c r="G10" s="5">
        <f t="shared" si="0"/>
        <v>625</v>
      </c>
    </row>
    <row r="11" spans="2:7" ht="21.75" thickBot="1">
      <c r="B11" s="33" t="s">
        <v>15</v>
      </c>
      <c r="C11" s="5" t="s">
        <v>16</v>
      </c>
      <c r="D11" s="5">
        <v>15000</v>
      </c>
      <c r="E11" s="5" t="s">
        <v>194</v>
      </c>
      <c r="F11" s="5">
        <v>0.2</v>
      </c>
      <c r="G11" s="5">
        <f t="shared" si="0"/>
        <v>3000</v>
      </c>
    </row>
    <row r="12" spans="2:7" ht="21.75" thickBot="1">
      <c r="B12" s="33" t="s">
        <v>15</v>
      </c>
      <c r="C12" s="5" t="s">
        <v>16</v>
      </c>
      <c r="D12" s="5">
        <v>1200</v>
      </c>
      <c r="E12" s="5" t="s">
        <v>195</v>
      </c>
      <c r="F12" s="5">
        <v>2.7</v>
      </c>
      <c r="G12" s="5">
        <f>D12*F12</f>
        <v>3240</v>
      </c>
    </row>
    <row r="13" spans="2:7" ht="21.75" thickBot="1">
      <c r="B13" s="4" t="s">
        <v>15</v>
      </c>
      <c r="C13" s="5" t="s">
        <v>16</v>
      </c>
      <c r="D13" s="5">
        <v>150000</v>
      </c>
      <c r="E13" s="5" t="s">
        <v>17</v>
      </c>
      <c r="F13" s="5">
        <v>0.05</v>
      </c>
      <c r="G13" s="5">
        <f t="shared" si="0"/>
        <v>7500</v>
      </c>
    </row>
    <row r="14" spans="2:7" ht="21.75" thickBot="1">
      <c r="B14" s="48" t="s">
        <v>18</v>
      </c>
      <c r="C14" s="49"/>
      <c r="D14" s="49"/>
      <c r="E14" s="49"/>
      <c r="F14" s="50"/>
      <c r="G14" s="5">
        <f>SUM(G3:G13)</f>
        <v>567640</v>
      </c>
    </row>
  </sheetData>
  <mergeCells count="4"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rightToLeft="1" tabSelected="1" workbookViewId="0">
      <selection activeCell="A6" sqref="A6"/>
    </sheetView>
  </sheetViews>
  <sheetFormatPr defaultRowHeight="19.5"/>
  <cols>
    <col min="1" max="1" width="27.140625" customWidth="1"/>
    <col min="2" max="2" width="17.28515625" customWidth="1"/>
    <col min="3" max="3" width="5.140625" style="32" customWidth="1"/>
  </cols>
  <sheetData>
    <row r="1" spans="1:3" ht="45.75" thickBot="1">
      <c r="A1" s="78" t="s">
        <v>197</v>
      </c>
      <c r="B1" s="79" t="s">
        <v>217</v>
      </c>
    </row>
    <row r="2" spans="1:3" ht="18" customHeight="1">
      <c r="A2" s="76" t="s">
        <v>175</v>
      </c>
      <c r="B2" s="23">
        <v>20000</v>
      </c>
      <c r="C2" s="77" t="s">
        <v>9</v>
      </c>
    </row>
    <row r="3" spans="1:3" ht="24.75" customHeight="1" thickBot="1">
      <c r="A3" s="74" t="s">
        <v>167</v>
      </c>
      <c r="B3" s="5">
        <v>38672</v>
      </c>
      <c r="C3" s="77"/>
    </row>
    <row r="4" spans="1:3" thickBot="1">
      <c r="A4" s="74" t="s">
        <v>168</v>
      </c>
      <c r="B4" s="5">
        <f>حقوق!B3+حقوق!B4+حقوق!B5+حقوق!B6</f>
        <v>135</v>
      </c>
      <c r="C4" s="77" t="s">
        <v>198</v>
      </c>
    </row>
    <row r="5" spans="1:3" thickBot="1">
      <c r="A5" s="74" t="s">
        <v>169</v>
      </c>
      <c r="B5" s="5">
        <f>B4</f>
        <v>135</v>
      </c>
      <c r="C5" s="77" t="s">
        <v>198</v>
      </c>
    </row>
    <row r="6" spans="1:3" thickBot="1">
      <c r="A6" s="74" t="s">
        <v>170</v>
      </c>
      <c r="B6" s="5">
        <f>B5*5</f>
        <v>675</v>
      </c>
      <c r="C6" s="77" t="s">
        <v>198</v>
      </c>
    </row>
    <row r="7" spans="1:3" ht="20.25" thickBot="1">
      <c r="A7" s="74" t="s">
        <v>152</v>
      </c>
      <c r="B7" s="5">
        <f>انرژی!E7</f>
        <v>6720</v>
      </c>
    </row>
    <row r="8" spans="1:3" ht="20.25" thickBot="1">
      <c r="A8" s="74" t="s">
        <v>171</v>
      </c>
      <c r="B8" s="5">
        <f>محاسبه!E14</f>
        <v>169116.45657750001</v>
      </c>
    </row>
    <row r="9" spans="1:3" ht="20.25" thickBot="1">
      <c r="A9" s="74" t="s">
        <v>172</v>
      </c>
      <c r="B9" s="5">
        <f>محاسبه!C14</f>
        <v>702261.40427249996</v>
      </c>
    </row>
    <row r="10" spans="1:3" ht="20.25" thickBot="1">
      <c r="A10" s="74" t="s">
        <v>158</v>
      </c>
      <c r="B10" s="24">
        <f>استهلاک!D8</f>
        <v>101143.567</v>
      </c>
    </row>
    <row r="11" spans="1:3" ht="20.25" thickBot="1">
      <c r="A11" s="74" t="s">
        <v>153</v>
      </c>
      <c r="B11" s="5">
        <f>نت!D5</f>
        <v>15757.91</v>
      </c>
    </row>
    <row r="12" spans="1:3" ht="20.25" thickBot="1">
      <c r="A12" s="74" t="s">
        <v>140</v>
      </c>
      <c r="B12" s="24">
        <f>محاسبه!E14</f>
        <v>169116.45657750001</v>
      </c>
    </row>
    <row r="13" spans="1:3" ht="20.25" thickBot="1">
      <c r="A13" s="74" t="s">
        <v>139</v>
      </c>
      <c r="B13" s="24">
        <f>محاسبه!C14</f>
        <v>702261.40427249996</v>
      </c>
    </row>
    <row r="14" spans="1:3" ht="20.25" thickBot="1">
      <c r="A14" s="74" t="s">
        <v>173</v>
      </c>
      <c r="B14" s="5">
        <v>200</v>
      </c>
    </row>
    <row r="15" spans="1:3" ht="20.25" thickBot="1">
      <c r="A15" s="74" t="s">
        <v>174</v>
      </c>
      <c r="B15" s="5">
        <f>B2*فروش!B2</f>
        <v>4400000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rightToLeft="1" workbookViewId="0">
      <selection activeCell="D4" sqref="D4"/>
    </sheetView>
  </sheetViews>
  <sheetFormatPr defaultRowHeight="15"/>
  <cols>
    <col min="1" max="1" width="25.85546875" customWidth="1"/>
    <col min="2" max="2" width="17.42578125" customWidth="1"/>
    <col min="3" max="3" width="16.42578125" customWidth="1"/>
    <col min="4" max="4" width="19.85546875" customWidth="1"/>
  </cols>
  <sheetData>
    <row r="1" spans="1:4" ht="42">
      <c r="A1" s="80" t="s">
        <v>19</v>
      </c>
      <c r="B1" s="80" t="s">
        <v>20</v>
      </c>
      <c r="C1" s="1" t="s">
        <v>21</v>
      </c>
      <c r="D1" s="84" t="s">
        <v>22</v>
      </c>
    </row>
    <row r="2" spans="1:4" ht="21.75" thickBot="1">
      <c r="A2" s="81"/>
      <c r="B2" s="81"/>
      <c r="C2" s="3" t="s">
        <v>5</v>
      </c>
      <c r="D2" s="85"/>
    </row>
    <row r="3" spans="1:4" ht="19.5" thickBot="1">
      <c r="A3" s="9" t="s">
        <v>23</v>
      </c>
      <c r="B3" s="5">
        <v>100</v>
      </c>
      <c r="C3" s="5">
        <v>12</v>
      </c>
      <c r="D3" s="5">
        <f>B3*C3</f>
        <v>1200</v>
      </c>
    </row>
    <row r="4" spans="1:4" ht="19.5" thickBot="1">
      <c r="A4" s="9" t="s">
        <v>24</v>
      </c>
      <c r="B4" s="5">
        <v>15</v>
      </c>
      <c r="C4" s="5">
        <v>22</v>
      </c>
      <c r="D4" s="5">
        <f t="shared" ref="D4:D6" si="0">B4*C4</f>
        <v>330</v>
      </c>
    </row>
    <row r="5" spans="1:4" ht="19.5" thickBot="1">
      <c r="A5" s="9" t="s">
        <v>27</v>
      </c>
      <c r="B5" s="5">
        <v>5</v>
      </c>
      <c r="C5" s="5">
        <v>40</v>
      </c>
      <c r="D5" s="5">
        <f t="shared" si="0"/>
        <v>200</v>
      </c>
    </row>
    <row r="6" spans="1:4" ht="19.5" thickBot="1">
      <c r="A6" s="9" t="s">
        <v>25</v>
      </c>
      <c r="B6" s="5">
        <v>15</v>
      </c>
      <c r="C6" s="5">
        <v>12</v>
      </c>
      <c r="D6" s="5">
        <f t="shared" si="0"/>
        <v>180</v>
      </c>
    </row>
    <row r="7" spans="1:4" ht="21.75" thickBot="1">
      <c r="A7" s="51" t="s">
        <v>18</v>
      </c>
      <c r="B7" s="37">
        <f>SUM(B3:B6)</f>
        <v>135</v>
      </c>
      <c r="C7" s="37"/>
      <c r="D7" s="54">
        <f>SUM(D3:D6)</f>
        <v>1910</v>
      </c>
    </row>
    <row r="8" spans="1:4" ht="21.75" customHeight="1" thickBot="1">
      <c r="A8" s="51" t="s">
        <v>26</v>
      </c>
      <c r="B8" s="52"/>
      <c r="C8" s="53"/>
      <c r="D8" s="54">
        <f>D7*1.64</f>
        <v>3132.3999999999996</v>
      </c>
    </row>
    <row r="9" spans="1:4" ht="21.75" customHeight="1" thickBot="1">
      <c r="A9" s="51" t="s">
        <v>28</v>
      </c>
      <c r="B9" s="52"/>
      <c r="C9" s="53"/>
      <c r="D9" s="54">
        <f>D8*3</f>
        <v>9397.1999999999989</v>
      </c>
    </row>
  </sheetData>
  <mergeCells count="3">
    <mergeCell ref="A1:A2"/>
    <mergeCell ref="B1:B2"/>
    <mergeCell ref="D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rightToLeft="1" workbookViewId="0">
      <selection activeCell="B3" sqref="B3"/>
    </sheetView>
  </sheetViews>
  <sheetFormatPr defaultRowHeight="15"/>
  <cols>
    <col min="1" max="1" width="24.42578125" customWidth="1"/>
    <col min="2" max="2" width="13.140625" customWidth="1"/>
    <col min="3" max="3" width="12.85546875" customWidth="1"/>
    <col min="4" max="5" width="14.42578125" customWidth="1"/>
  </cols>
  <sheetData>
    <row r="1" spans="1:5" ht="21">
      <c r="A1" s="80" t="s">
        <v>29</v>
      </c>
      <c r="B1" s="80" t="s">
        <v>3</v>
      </c>
      <c r="C1" s="80" t="s">
        <v>30</v>
      </c>
      <c r="D1" s="80" t="s">
        <v>31</v>
      </c>
      <c r="E1" s="1" t="s">
        <v>32</v>
      </c>
    </row>
    <row r="2" spans="1:5" ht="21.75" thickBot="1">
      <c r="A2" s="81"/>
      <c r="B2" s="81"/>
      <c r="C2" s="81"/>
      <c r="D2" s="81"/>
      <c r="E2" s="3" t="s">
        <v>5</v>
      </c>
    </row>
    <row r="3" spans="1:5" ht="21.75" thickBot="1">
      <c r="A3" s="4" t="s">
        <v>33</v>
      </c>
      <c r="B3" s="5" t="s">
        <v>34</v>
      </c>
      <c r="C3" s="11">
        <f>5000*24*300</f>
        <v>36000000</v>
      </c>
      <c r="D3" s="11">
        <v>700</v>
      </c>
      <c r="E3" s="5">
        <f>C3*D3/10000000</f>
        <v>2520</v>
      </c>
    </row>
    <row r="4" spans="1:5" ht="21.75" thickBot="1">
      <c r="A4" s="4" t="s">
        <v>35</v>
      </c>
      <c r="B4" s="5" t="s">
        <v>36</v>
      </c>
      <c r="C4" s="11">
        <v>500000</v>
      </c>
      <c r="D4" s="11">
        <v>50000</v>
      </c>
      <c r="E4" s="5">
        <f t="shared" ref="E4:E6" si="0">C4*D4/10000000</f>
        <v>2500</v>
      </c>
    </row>
    <row r="5" spans="1:5" ht="21.75" thickBot="1">
      <c r="A5" s="4" t="s">
        <v>37</v>
      </c>
      <c r="B5" s="5" t="s">
        <v>36</v>
      </c>
      <c r="C5" s="11">
        <v>400000</v>
      </c>
      <c r="D5" s="11">
        <v>20000</v>
      </c>
      <c r="E5" s="5">
        <f t="shared" si="0"/>
        <v>800</v>
      </c>
    </row>
    <row r="6" spans="1:5" ht="21.75" thickBot="1">
      <c r="A6" s="4" t="s">
        <v>38</v>
      </c>
      <c r="B6" s="5" t="s">
        <v>39</v>
      </c>
      <c r="C6" s="11">
        <v>300000</v>
      </c>
      <c r="D6" s="11">
        <v>30000</v>
      </c>
      <c r="E6" s="5">
        <f t="shared" si="0"/>
        <v>900</v>
      </c>
    </row>
    <row r="7" spans="1:5" ht="21.75" customHeight="1" thickBot="1">
      <c r="A7" s="51" t="s">
        <v>40</v>
      </c>
      <c r="B7" s="52"/>
      <c r="C7" s="52"/>
      <c r="D7" s="53"/>
      <c r="E7" s="5">
        <f>SUM(E3:E6)</f>
        <v>6720</v>
      </c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rightToLeft="1" workbookViewId="0">
      <selection activeCell="B6" sqref="B6"/>
    </sheetView>
  </sheetViews>
  <sheetFormatPr defaultRowHeight="15"/>
  <cols>
    <col min="1" max="1" width="31.5703125" customWidth="1"/>
    <col min="2" max="2" width="18.85546875" customWidth="1"/>
    <col min="3" max="3" width="17" customWidth="1"/>
    <col min="4" max="4" width="17.28515625" customWidth="1"/>
    <col min="5" max="5" width="16.42578125" customWidth="1"/>
  </cols>
  <sheetData>
    <row r="1" spans="1:4" ht="22.5">
      <c r="A1" s="86" t="s">
        <v>41</v>
      </c>
      <c r="B1" s="12" t="s">
        <v>42</v>
      </c>
      <c r="C1" s="86" t="s">
        <v>20</v>
      </c>
      <c r="D1" s="12" t="s">
        <v>43</v>
      </c>
    </row>
    <row r="2" spans="1:4" ht="23.25" thickBot="1">
      <c r="A2" s="87"/>
      <c r="B2" s="13" t="s">
        <v>5</v>
      </c>
      <c r="C2" s="87"/>
      <c r="D2" s="13" t="s">
        <v>5</v>
      </c>
    </row>
    <row r="3" spans="1:4" ht="18.75" thickBot="1">
      <c r="A3" s="14" t="s">
        <v>44</v>
      </c>
      <c r="B3" s="6">
        <v>500</v>
      </c>
      <c r="C3" s="6">
        <v>8</v>
      </c>
      <c r="D3" s="6">
        <f>B3*C3</f>
        <v>4000</v>
      </c>
    </row>
    <row r="4" spans="1:4" ht="18.75" thickBot="1">
      <c r="A4" s="14" t="s">
        <v>45</v>
      </c>
      <c r="B4" s="6">
        <v>100</v>
      </c>
      <c r="C4" s="6">
        <v>8</v>
      </c>
      <c r="D4" s="6">
        <f t="shared" ref="D4:D43" si="0">B4*C4</f>
        <v>800</v>
      </c>
    </row>
    <row r="5" spans="1:4" ht="18.75" thickBot="1">
      <c r="A5" s="14" t="s">
        <v>46</v>
      </c>
      <c r="B5" s="6">
        <v>100</v>
      </c>
      <c r="C5" s="6">
        <v>8</v>
      </c>
      <c r="D5" s="6">
        <f t="shared" si="0"/>
        <v>800</v>
      </c>
    </row>
    <row r="6" spans="1:4" ht="18.75" thickBot="1">
      <c r="A6" s="14" t="s">
        <v>47</v>
      </c>
      <c r="B6" s="6">
        <v>350</v>
      </c>
      <c r="C6" s="6">
        <v>10</v>
      </c>
      <c r="D6" s="6">
        <f t="shared" si="0"/>
        <v>3500</v>
      </c>
    </row>
    <row r="7" spans="1:4" ht="18.75" thickBot="1">
      <c r="A7" s="14" t="s">
        <v>48</v>
      </c>
      <c r="B7" s="6">
        <v>3000</v>
      </c>
      <c r="C7" s="6">
        <v>1</v>
      </c>
      <c r="D7" s="6">
        <f t="shared" si="0"/>
        <v>3000</v>
      </c>
    </row>
    <row r="8" spans="1:4" ht="22.5" customHeight="1" thickBot="1">
      <c r="A8" s="14" t="s">
        <v>49</v>
      </c>
      <c r="B8" s="6">
        <v>3000</v>
      </c>
      <c r="C8" s="6">
        <v>1</v>
      </c>
      <c r="D8" s="6">
        <f t="shared" si="0"/>
        <v>3000</v>
      </c>
    </row>
    <row r="9" spans="1:4" ht="18.75" thickBot="1">
      <c r="A9" s="14" t="s">
        <v>50</v>
      </c>
      <c r="B9" s="6">
        <v>1000</v>
      </c>
      <c r="C9" s="6">
        <v>3</v>
      </c>
      <c r="D9" s="6">
        <f t="shared" si="0"/>
        <v>3000</v>
      </c>
    </row>
    <row r="10" spans="1:4" ht="18.75" thickBot="1">
      <c r="A10" s="14" t="s">
        <v>51</v>
      </c>
      <c r="B10" s="6">
        <v>100</v>
      </c>
      <c r="C10" s="6">
        <v>6</v>
      </c>
      <c r="D10" s="6">
        <f t="shared" si="0"/>
        <v>600</v>
      </c>
    </row>
    <row r="11" spans="1:4" ht="18.75" thickBot="1">
      <c r="A11" s="14" t="s">
        <v>52</v>
      </c>
      <c r="B11" s="6">
        <v>50</v>
      </c>
      <c r="C11" s="6">
        <v>4</v>
      </c>
      <c r="D11" s="6">
        <f t="shared" si="0"/>
        <v>200</v>
      </c>
    </row>
    <row r="12" spans="1:4" ht="18.75" thickBot="1">
      <c r="A12" s="14" t="s">
        <v>53</v>
      </c>
      <c r="B12" s="6">
        <v>100</v>
      </c>
      <c r="C12" s="6">
        <v>4</v>
      </c>
      <c r="D12" s="6">
        <f t="shared" si="0"/>
        <v>400</v>
      </c>
    </row>
    <row r="13" spans="1:4" ht="18.75" thickBot="1">
      <c r="A13" s="14" t="s">
        <v>54</v>
      </c>
      <c r="B13" s="6">
        <v>200</v>
      </c>
      <c r="C13" s="6">
        <v>2</v>
      </c>
      <c r="D13" s="6">
        <f t="shared" si="0"/>
        <v>400</v>
      </c>
    </row>
    <row r="14" spans="1:4" ht="18.75" thickBot="1">
      <c r="A14" s="14" t="s">
        <v>55</v>
      </c>
      <c r="B14" s="6">
        <v>100</v>
      </c>
      <c r="C14" s="6">
        <v>10</v>
      </c>
      <c r="D14" s="6">
        <f t="shared" si="0"/>
        <v>1000</v>
      </c>
    </row>
    <row r="15" spans="1:4" ht="18.75" thickBot="1">
      <c r="A15" s="14" t="s">
        <v>53</v>
      </c>
      <c r="B15" s="6">
        <v>100</v>
      </c>
      <c r="C15" s="6">
        <v>8</v>
      </c>
      <c r="D15" s="6">
        <f t="shared" si="0"/>
        <v>800</v>
      </c>
    </row>
    <row r="16" spans="1:4" ht="18.75" thickBot="1">
      <c r="A16" s="14" t="s">
        <v>56</v>
      </c>
      <c r="B16" s="6">
        <v>50</v>
      </c>
      <c r="C16" s="6">
        <v>8</v>
      </c>
      <c r="D16" s="6">
        <f t="shared" si="0"/>
        <v>400</v>
      </c>
    </row>
    <row r="17" spans="1:4" ht="18.75" thickBot="1">
      <c r="A17" s="14" t="s">
        <v>57</v>
      </c>
      <c r="B17" s="6">
        <v>20</v>
      </c>
      <c r="C17" s="6">
        <v>4</v>
      </c>
      <c r="D17" s="6">
        <f t="shared" si="0"/>
        <v>80</v>
      </c>
    </row>
    <row r="18" spans="1:4" ht="20.25" customHeight="1" thickBot="1">
      <c r="A18" s="14" t="s">
        <v>58</v>
      </c>
      <c r="B18" s="6">
        <v>500</v>
      </c>
      <c r="C18" s="6">
        <v>1</v>
      </c>
      <c r="D18" s="6">
        <f t="shared" si="0"/>
        <v>500</v>
      </c>
    </row>
    <row r="19" spans="1:4" ht="18.75" thickBot="1">
      <c r="A19" s="14" t="s">
        <v>59</v>
      </c>
      <c r="B19" s="6">
        <v>200</v>
      </c>
      <c r="C19" s="6">
        <v>2</v>
      </c>
      <c r="D19" s="6">
        <f t="shared" si="0"/>
        <v>400</v>
      </c>
    </row>
    <row r="20" spans="1:4" ht="18.75" thickBot="1">
      <c r="A20" s="14" t="s">
        <v>60</v>
      </c>
      <c r="B20" s="6">
        <v>500</v>
      </c>
      <c r="C20" s="6">
        <v>2</v>
      </c>
      <c r="D20" s="6">
        <f t="shared" si="0"/>
        <v>1000</v>
      </c>
    </row>
    <row r="21" spans="1:4" ht="18.75" thickBot="1">
      <c r="A21" s="14" t="s">
        <v>61</v>
      </c>
      <c r="B21" s="6">
        <v>200</v>
      </c>
      <c r="C21" s="6">
        <v>2</v>
      </c>
      <c r="D21" s="6">
        <f t="shared" si="0"/>
        <v>400</v>
      </c>
    </row>
    <row r="22" spans="1:4" ht="18.75" thickBot="1">
      <c r="A22" s="14" t="s">
        <v>62</v>
      </c>
      <c r="B22" s="6">
        <v>300</v>
      </c>
      <c r="C22" s="6">
        <v>4</v>
      </c>
      <c r="D22" s="6">
        <f t="shared" si="0"/>
        <v>1200</v>
      </c>
    </row>
    <row r="23" spans="1:4" ht="18.75" thickBot="1">
      <c r="A23" s="14" t="s">
        <v>63</v>
      </c>
      <c r="B23" s="6">
        <v>100</v>
      </c>
      <c r="C23" s="6">
        <v>8</v>
      </c>
      <c r="D23" s="6">
        <f t="shared" si="0"/>
        <v>800</v>
      </c>
    </row>
    <row r="24" spans="1:4" ht="18.75" thickBot="1">
      <c r="A24" s="14" t="s">
        <v>64</v>
      </c>
      <c r="B24" s="6">
        <v>50</v>
      </c>
      <c r="C24" s="6">
        <v>8</v>
      </c>
      <c r="D24" s="6">
        <f t="shared" si="0"/>
        <v>400</v>
      </c>
    </row>
    <row r="25" spans="1:4" ht="18.75" thickBot="1">
      <c r="A25" s="14" t="s">
        <v>65</v>
      </c>
      <c r="B25" s="6">
        <v>500</v>
      </c>
      <c r="C25" s="6">
        <v>1</v>
      </c>
      <c r="D25" s="6">
        <f t="shared" si="0"/>
        <v>500</v>
      </c>
    </row>
    <row r="26" spans="1:4" ht="18.75" thickBot="1">
      <c r="A26" s="15" t="s">
        <v>73</v>
      </c>
      <c r="B26" s="16">
        <v>700</v>
      </c>
      <c r="C26" s="16">
        <v>1</v>
      </c>
      <c r="D26" s="6">
        <f t="shared" si="0"/>
        <v>700</v>
      </c>
    </row>
    <row r="27" spans="1:4" ht="18.75" thickBot="1">
      <c r="A27" s="15" t="s">
        <v>66</v>
      </c>
      <c r="B27" s="19">
        <v>5000</v>
      </c>
      <c r="C27" s="19">
        <v>1</v>
      </c>
      <c r="D27" s="6">
        <f t="shared" si="0"/>
        <v>5000</v>
      </c>
    </row>
    <row r="28" spans="1:4" ht="18.75" thickBot="1">
      <c r="A28" s="14" t="s">
        <v>67</v>
      </c>
      <c r="B28" s="6">
        <v>500</v>
      </c>
      <c r="C28" s="6">
        <v>4</v>
      </c>
      <c r="D28" s="6">
        <f t="shared" si="0"/>
        <v>2000</v>
      </c>
    </row>
    <row r="29" spans="1:4" ht="18.75" thickBot="1">
      <c r="A29" s="14" t="s">
        <v>68</v>
      </c>
      <c r="B29" s="6">
        <v>500</v>
      </c>
      <c r="C29" s="6">
        <v>30</v>
      </c>
      <c r="D29" s="6">
        <f t="shared" si="0"/>
        <v>15000</v>
      </c>
    </row>
    <row r="30" spans="1:4" ht="18.75" thickBot="1">
      <c r="A30" s="14" t="s">
        <v>69</v>
      </c>
      <c r="B30" s="6">
        <v>200</v>
      </c>
      <c r="C30" s="6">
        <v>5</v>
      </c>
      <c r="D30" s="6">
        <f t="shared" si="0"/>
        <v>1000</v>
      </c>
    </row>
    <row r="31" spans="1:4" ht="18.75" thickBot="1">
      <c r="A31" s="14" t="s">
        <v>70</v>
      </c>
      <c r="B31" s="6">
        <v>200</v>
      </c>
      <c r="C31" s="6">
        <v>5</v>
      </c>
      <c r="D31" s="6">
        <f t="shared" si="0"/>
        <v>1000</v>
      </c>
    </row>
    <row r="32" spans="1:4" ht="18.75" thickBot="1">
      <c r="A32" s="14" t="s">
        <v>71</v>
      </c>
      <c r="B32" s="6">
        <v>200</v>
      </c>
      <c r="C32" s="6">
        <v>3</v>
      </c>
      <c r="D32" s="6">
        <f t="shared" si="0"/>
        <v>600</v>
      </c>
    </row>
    <row r="33" spans="1:4" ht="18.75" thickBot="1">
      <c r="A33" s="14" t="s">
        <v>72</v>
      </c>
      <c r="B33" s="6">
        <v>700</v>
      </c>
      <c r="C33" s="6">
        <v>1</v>
      </c>
      <c r="D33" s="6">
        <f t="shared" si="0"/>
        <v>700</v>
      </c>
    </row>
    <row r="34" spans="1:4" ht="18.75" thickBot="1">
      <c r="A34" s="18" t="s">
        <v>178</v>
      </c>
      <c r="B34" s="35">
        <f>275000*E1/1000000</f>
        <v>0</v>
      </c>
      <c r="C34" s="35">
        <v>1</v>
      </c>
      <c r="D34" s="18">
        <f t="shared" si="0"/>
        <v>0</v>
      </c>
    </row>
    <row r="35" spans="1:4" ht="18.75" thickBot="1">
      <c r="A35" s="18" t="s">
        <v>179</v>
      </c>
      <c r="B35" s="35">
        <v>120</v>
      </c>
      <c r="C35" s="35">
        <v>10</v>
      </c>
      <c r="D35" s="18">
        <f t="shared" si="0"/>
        <v>1200</v>
      </c>
    </row>
    <row r="36" spans="1:4" ht="18.75" thickBot="1">
      <c r="A36" s="18" t="s">
        <v>180</v>
      </c>
      <c r="B36" s="35">
        <v>350</v>
      </c>
      <c r="C36" s="35">
        <v>6</v>
      </c>
      <c r="D36" s="18">
        <f t="shared" si="0"/>
        <v>2100</v>
      </c>
    </row>
    <row r="37" spans="1:4" ht="18.75" thickBot="1">
      <c r="A37" s="18" t="s">
        <v>181</v>
      </c>
      <c r="B37" s="35">
        <v>250</v>
      </c>
      <c r="C37" s="35">
        <v>5</v>
      </c>
      <c r="D37" s="18">
        <f t="shared" si="0"/>
        <v>1250</v>
      </c>
    </row>
    <row r="38" spans="1:4" ht="18.75" thickBot="1">
      <c r="A38" s="18" t="s">
        <v>182</v>
      </c>
      <c r="B38" s="35">
        <v>500</v>
      </c>
      <c r="C38" s="35">
        <v>6</v>
      </c>
      <c r="D38" s="18">
        <f t="shared" si="0"/>
        <v>3000</v>
      </c>
    </row>
    <row r="39" spans="1:4" ht="18.75" thickBot="1">
      <c r="A39" s="18" t="s">
        <v>183</v>
      </c>
      <c r="B39" s="35">
        <v>6</v>
      </c>
      <c r="C39" s="35">
        <v>350</v>
      </c>
      <c r="D39" s="18">
        <f t="shared" si="0"/>
        <v>2100</v>
      </c>
    </row>
    <row r="40" spans="1:4" ht="18.75" thickBot="1">
      <c r="A40" s="18" t="s">
        <v>177</v>
      </c>
      <c r="B40" s="35">
        <v>1000</v>
      </c>
      <c r="C40" s="35">
        <v>1</v>
      </c>
      <c r="D40" s="18">
        <f t="shared" si="0"/>
        <v>1000</v>
      </c>
    </row>
    <row r="41" spans="1:4" ht="18.75" thickBot="1">
      <c r="A41" s="18" t="s">
        <v>190</v>
      </c>
      <c r="B41" s="35">
        <v>30</v>
      </c>
      <c r="C41" s="35">
        <v>300</v>
      </c>
      <c r="D41" s="18">
        <f t="shared" si="0"/>
        <v>9000</v>
      </c>
    </row>
    <row r="42" spans="1:4" ht="18.75" thickBot="1">
      <c r="A42" s="34" t="s">
        <v>196</v>
      </c>
      <c r="B42" s="35">
        <v>5</v>
      </c>
      <c r="C42" s="35">
        <v>150</v>
      </c>
      <c r="D42" s="34">
        <f t="shared" si="0"/>
        <v>750</v>
      </c>
    </row>
    <row r="43" spans="1:4" ht="18.75" thickBot="1">
      <c r="A43" s="34" t="s">
        <v>193</v>
      </c>
      <c r="B43" s="35">
        <v>3000</v>
      </c>
      <c r="C43" s="35">
        <v>1</v>
      </c>
      <c r="D43" s="34">
        <f t="shared" si="0"/>
        <v>3000</v>
      </c>
    </row>
    <row r="44" spans="1:4" ht="20.25" thickBot="1">
      <c r="A44" s="55" t="s">
        <v>18</v>
      </c>
      <c r="B44" s="56"/>
      <c r="C44" s="57"/>
      <c r="D44" s="17">
        <f>SUM(D3:D43)</f>
        <v>76580</v>
      </c>
    </row>
  </sheetData>
  <mergeCells count="2">
    <mergeCell ref="A1:A2"/>
    <mergeCell ref="C1:C2"/>
  </mergeCells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rightToLeft="1" workbookViewId="0">
      <selection activeCell="C4" sqref="C4"/>
    </sheetView>
  </sheetViews>
  <sheetFormatPr defaultRowHeight="15"/>
  <cols>
    <col min="1" max="1" width="25.85546875" customWidth="1"/>
    <col min="2" max="2" width="14" customWidth="1"/>
    <col min="3" max="3" width="16" customWidth="1"/>
    <col min="4" max="4" width="14.28515625" customWidth="1"/>
    <col min="5" max="5" width="15.42578125" customWidth="1"/>
  </cols>
  <sheetData>
    <row r="1" spans="1:3" ht="21">
      <c r="A1" s="80" t="s">
        <v>74</v>
      </c>
      <c r="B1" s="1" t="s">
        <v>75</v>
      </c>
      <c r="C1" s="38" t="s">
        <v>75</v>
      </c>
    </row>
    <row r="2" spans="1:3" ht="21.75" thickBot="1">
      <c r="A2" s="81"/>
      <c r="B2" s="3" t="s">
        <v>5</v>
      </c>
      <c r="C2" s="39" t="s">
        <v>207</v>
      </c>
    </row>
    <row r="3" spans="1:3" ht="21.75" thickBot="1">
      <c r="A3" s="4" t="s">
        <v>76</v>
      </c>
      <c r="B3" s="5">
        <v>2000</v>
      </c>
      <c r="C3" s="5">
        <f>B3*30</f>
        <v>60000</v>
      </c>
    </row>
    <row r="4" spans="1:3" ht="21.75" thickBot="1">
      <c r="A4" s="4" t="s">
        <v>77</v>
      </c>
      <c r="B4" s="5">
        <v>1000</v>
      </c>
      <c r="C4" s="5">
        <f t="shared" ref="C4:C8" si="0">B4*30</f>
        <v>30000</v>
      </c>
    </row>
    <row r="5" spans="1:3" ht="21.75" thickBot="1">
      <c r="A5" s="4" t="s">
        <v>78</v>
      </c>
      <c r="B5" s="5">
        <v>1200</v>
      </c>
      <c r="C5" s="5">
        <f t="shared" si="0"/>
        <v>36000</v>
      </c>
    </row>
    <row r="6" spans="1:3" ht="21.75" customHeight="1" thickBot="1">
      <c r="A6" s="4" t="s">
        <v>79</v>
      </c>
      <c r="B6" s="5">
        <v>3000</v>
      </c>
      <c r="C6" s="5">
        <f t="shared" si="0"/>
        <v>90000</v>
      </c>
    </row>
    <row r="7" spans="1:3" ht="21.75" customHeight="1" thickBot="1">
      <c r="A7" s="7" t="s">
        <v>191</v>
      </c>
      <c r="B7" s="5">
        <v>4000</v>
      </c>
      <c r="C7" s="5">
        <f t="shared" si="0"/>
        <v>120000</v>
      </c>
    </row>
    <row r="8" spans="1:3" ht="21.75" thickBot="1">
      <c r="A8" s="4" t="s">
        <v>18</v>
      </c>
      <c r="B8" s="5">
        <f>SUM(B3:B7)</f>
        <v>11200</v>
      </c>
      <c r="C8" s="5">
        <f t="shared" si="0"/>
        <v>336000</v>
      </c>
    </row>
  </sheetData>
  <mergeCells count="1">
    <mergeCell ref="A1:A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rightToLeft="1" workbookViewId="0">
      <selection activeCell="C5" sqref="C5"/>
    </sheetView>
  </sheetViews>
  <sheetFormatPr defaultRowHeight="15"/>
  <cols>
    <col min="1" max="2" width="14.5703125" customWidth="1"/>
    <col min="3" max="3" width="20.28515625" customWidth="1"/>
    <col min="4" max="4" width="21" customWidth="1"/>
  </cols>
  <sheetData>
    <row r="1" spans="1:5" ht="18">
      <c r="A1" s="88" t="s">
        <v>80</v>
      </c>
      <c r="B1" s="20" t="s">
        <v>4</v>
      </c>
      <c r="C1" s="88" t="s">
        <v>20</v>
      </c>
      <c r="D1" s="90" t="s">
        <v>81</v>
      </c>
      <c r="E1" s="90" t="s">
        <v>208</v>
      </c>
    </row>
    <row r="2" spans="1:5" ht="18.75" thickBot="1">
      <c r="A2" s="89"/>
      <c r="B2" s="6" t="s">
        <v>5</v>
      </c>
      <c r="C2" s="89"/>
      <c r="D2" s="91"/>
      <c r="E2" s="91"/>
    </row>
    <row r="3" spans="1:5" ht="18.75" thickBot="1">
      <c r="A3" s="14" t="s">
        <v>82</v>
      </c>
      <c r="B3" s="6">
        <v>550</v>
      </c>
      <c r="C3" s="6">
        <v>4</v>
      </c>
      <c r="D3" s="6">
        <f>C3*B3</f>
        <v>2200</v>
      </c>
      <c r="E3" s="40">
        <f>D3*30</f>
        <v>66000</v>
      </c>
    </row>
    <row r="4" spans="1:5" ht="18.75" thickBot="1">
      <c r="A4" s="14" t="s">
        <v>83</v>
      </c>
      <c r="B4" s="6">
        <v>350</v>
      </c>
      <c r="C4" s="6">
        <v>2</v>
      </c>
      <c r="D4" s="6">
        <f t="shared" ref="D4:D6" si="0">C4*B4</f>
        <v>700</v>
      </c>
      <c r="E4" s="40">
        <f t="shared" ref="E4:E7" si="1">D4*30</f>
        <v>21000</v>
      </c>
    </row>
    <row r="5" spans="1:5" ht="18.75" thickBot="1">
      <c r="A5" s="14" t="s">
        <v>84</v>
      </c>
      <c r="B5" s="6">
        <v>950</v>
      </c>
      <c r="C5" s="6">
        <v>3</v>
      </c>
      <c r="D5" s="6">
        <f t="shared" si="0"/>
        <v>2850</v>
      </c>
      <c r="E5" s="40">
        <f t="shared" si="1"/>
        <v>85500</v>
      </c>
    </row>
    <row r="6" spans="1:5" ht="18.75" thickBot="1">
      <c r="A6" s="14" t="s">
        <v>85</v>
      </c>
      <c r="B6" s="6">
        <v>300</v>
      </c>
      <c r="C6" s="6">
        <v>3</v>
      </c>
      <c r="D6" s="6">
        <f t="shared" si="0"/>
        <v>900</v>
      </c>
      <c r="E6" s="40">
        <f t="shared" si="1"/>
        <v>27000</v>
      </c>
    </row>
    <row r="7" spans="1:5" ht="20.25" thickBot="1">
      <c r="A7" s="55" t="s">
        <v>18</v>
      </c>
      <c r="B7" s="56"/>
      <c r="C7" s="57"/>
      <c r="D7" s="58">
        <f>SUM(D3:D6)</f>
        <v>6650</v>
      </c>
      <c r="E7" s="40">
        <f t="shared" si="1"/>
        <v>199500</v>
      </c>
    </row>
  </sheetData>
  <mergeCells count="4">
    <mergeCell ref="A1:A2"/>
    <mergeCell ref="C1:C2"/>
    <mergeCell ref="D1:D2"/>
    <mergeCell ref="E1:E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rightToLeft="1" workbookViewId="0">
      <selection activeCell="B2" sqref="B2"/>
    </sheetView>
  </sheetViews>
  <sheetFormatPr defaultRowHeight="15"/>
  <cols>
    <col min="1" max="1" width="23.5703125" customWidth="1"/>
    <col min="2" max="2" width="18.85546875" customWidth="1"/>
    <col min="3" max="3" width="21.7109375" customWidth="1"/>
  </cols>
  <sheetData>
    <row r="1" spans="1:3" ht="38.25" thickBot="1">
      <c r="A1" s="21" t="s">
        <v>86</v>
      </c>
      <c r="B1" s="22" t="s">
        <v>87</v>
      </c>
      <c r="C1" s="22" t="s">
        <v>88</v>
      </c>
    </row>
    <row r="2" spans="1:3" ht="19.5" thickBot="1">
      <c r="A2" s="9">
        <v>100000</v>
      </c>
      <c r="B2" s="5">
        <v>0.5</v>
      </c>
      <c r="C2" s="5">
        <f>B2*A2</f>
        <v>50000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rightToLeft="1" workbookViewId="0">
      <selection activeCell="A3" sqref="A3"/>
    </sheetView>
  </sheetViews>
  <sheetFormatPr defaultRowHeight="15"/>
  <cols>
    <col min="1" max="1" width="27.85546875" customWidth="1"/>
    <col min="2" max="3" width="17.5703125" customWidth="1"/>
    <col min="4" max="4" width="21.28515625" customWidth="1"/>
    <col min="5" max="5" width="17.5703125" customWidth="1"/>
    <col min="6" max="6" width="20.140625" customWidth="1"/>
  </cols>
  <sheetData>
    <row r="1" spans="1:4" ht="18.75">
      <c r="A1" s="92" t="s">
        <v>89</v>
      </c>
      <c r="B1" s="92" t="s">
        <v>90</v>
      </c>
      <c r="C1" s="92" t="s">
        <v>91</v>
      </c>
      <c r="D1" s="59" t="s">
        <v>92</v>
      </c>
    </row>
    <row r="2" spans="1:4" ht="19.5" thickBot="1">
      <c r="A2" s="93"/>
      <c r="B2" s="93"/>
      <c r="C2" s="93"/>
      <c r="D2" s="60" t="s">
        <v>5</v>
      </c>
    </row>
    <row r="3" spans="1:4" ht="19.5" thickBot="1">
      <c r="A3" s="61" t="s">
        <v>216</v>
      </c>
      <c r="B3" s="60">
        <v>3740</v>
      </c>
      <c r="C3" s="60">
        <v>9.5</v>
      </c>
      <c r="D3" s="60">
        <f>B3*C3</f>
        <v>35530</v>
      </c>
    </row>
    <row r="4" spans="1:4" ht="23.25" customHeight="1" thickBot="1">
      <c r="A4" s="61" t="s">
        <v>93</v>
      </c>
      <c r="B4" s="60">
        <v>5000</v>
      </c>
      <c r="C4" s="60">
        <v>9.5</v>
      </c>
      <c r="D4" s="60">
        <f t="shared" ref="D4:D12" si="0">B4*C4</f>
        <v>47500</v>
      </c>
    </row>
    <row r="5" spans="1:4" ht="19.5" thickBot="1">
      <c r="A5" s="61" t="s">
        <v>94</v>
      </c>
      <c r="B5" s="60">
        <v>10000</v>
      </c>
      <c r="C5" s="60">
        <v>9.5</v>
      </c>
      <c r="D5" s="60">
        <f t="shared" si="0"/>
        <v>95000</v>
      </c>
    </row>
    <row r="6" spans="1:4" ht="19.5" thickBot="1">
      <c r="A6" s="61" t="s">
        <v>95</v>
      </c>
      <c r="B6" s="60">
        <v>15140</v>
      </c>
      <c r="C6" s="60">
        <v>9.5</v>
      </c>
      <c r="D6" s="60">
        <f t="shared" si="0"/>
        <v>143830</v>
      </c>
    </row>
    <row r="7" spans="1:4" ht="19.5" thickBot="1">
      <c r="A7" s="61" t="s">
        <v>96</v>
      </c>
      <c r="B7" s="60">
        <v>1560</v>
      </c>
      <c r="C7" s="60">
        <v>9.5</v>
      </c>
      <c r="D7" s="60">
        <f t="shared" si="0"/>
        <v>14820</v>
      </c>
    </row>
    <row r="8" spans="1:4" ht="19.5" thickBot="1">
      <c r="A8" s="61" t="s">
        <v>97</v>
      </c>
      <c r="B8" s="60">
        <v>3224</v>
      </c>
      <c r="C8" s="60">
        <v>9.5</v>
      </c>
      <c r="D8" s="60">
        <f t="shared" si="0"/>
        <v>30628</v>
      </c>
    </row>
    <row r="9" spans="1:4" ht="19.5" thickBot="1">
      <c r="A9" s="61" t="s">
        <v>98</v>
      </c>
      <c r="B9" s="60">
        <v>5225</v>
      </c>
      <c r="C9" s="60">
        <v>9.5</v>
      </c>
      <c r="D9" s="60">
        <f t="shared" si="0"/>
        <v>49637.5</v>
      </c>
    </row>
    <row r="10" spans="1:4" ht="22.5" customHeight="1" thickBot="1">
      <c r="A10" s="61" t="s">
        <v>99</v>
      </c>
      <c r="B10" s="60">
        <v>7500</v>
      </c>
      <c r="C10" s="60">
        <v>9.5</v>
      </c>
      <c r="D10" s="60">
        <f t="shared" si="0"/>
        <v>71250</v>
      </c>
    </row>
    <row r="11" spans="1:4" ht="19.5" thickBot="1">
      <c r="A11" s="61" t="s">
        <v>100</v>
      </c>
      <c r="B11" s="60">
        <v>5000</v>
      </c>
      <c r="C11" s="60">
        <v>9.5</v>
      </c>
      <c r="D11" s="60">
        <f t="shared" si="0"/>
        <v>47500</v>
      </c>
    </row>
    <row r="12" spans="1:4" ht="24.75" customHeight="1" thickBot="1">
      <c r="A12" s="61" t="s">
        <v>101</v>
      </c>
      <c r="B12" s="60">
        <v>500</v>
      </c>
      <c r="C12" s="60">
        <v>9.5</v>
      </c>
      <c r="D12" s="60">
        <f t="shared" si="0"/>
        <v>4750</v>
      </c>
    </row>
    <row r="13" spans="1:4" ht="21.75" thickBot="1">
      <c r="A13" s="62" t="s">
        <v>102</v>
      </c>
      <c r="B13" s="63"/>
      <c r="C13" s="64"/>
      <c r="D13" s="60">
        <f>SUM(D3:D12)</f>
        <v>540445.5</v>
      </c>
    </row>
  </sheetData>
  <mergeCells count="3">
    <mergeCell ref="A1:A2"/>
    <mergeCell ref="B1:B2"/>
    <mergeCell ref="C1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برنامه تولید</vt:lpstr>
      <vt:lpstr>مواد اولیه</vt:lpstr>
      <vt:lpstr>حقوق</vt:lpstr>
      <vt:lpstr>انرژی</vt:lpstr>
      <vt:lpstr>ماشین آلات</vt:lpstr>
      <vt:lpstr>تاسیسات</vt:lpstr>
      <vt:lpstr>نقلیه</vt:lpstr>
      <vt:lpstr>زمین</vt:lpstr>
      <vt:lpstr>ساختمان</vt:lpstr>
      <vt:lpstr>محوطه سازی</vt:lpstr>
      <vt:lpstr>قبل از بهره برداری</vt:lpstr>
      <vt:lpstr>سرمایه ثابت</vt:lpstr>
      <vt:lpstr>سرمایه در گردش</vt:lpstr>
      <vt:lpstr>استهلاک</vt:lpstr>
      <vt:lpstr>نت</vt:lpstr>
      <vt:lpstr>محاسبه</vt:lpstr>
      <vt:lpstr>سالیانه</vt:lpstr>
      <vt:lpstr>فروش</vt:lpstr>
      <vt:lpstr>بازگشت</vt:lpstr>
      <vt:lpstr>خلاصه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Sadegh</cp:lastModifiedBy>
  <dcterms:created xsi:type="dcterms:W3CDTF">2023-02-09T16:23:00Z</dcterms:created>
  <dcterms:modified xsi:type="dcterms:W3CDTF">2023-03-11T10:55:23Z</dcterms:modified>
</cp:coreProperties>
</file>